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Yasser\Shared with\"/>
    </mc:Choice>
  </mc:AlternateContent>
  <xr:revisionPtr revIDLastSave="0" documentId="13_ncr:1_{C039046A-658C-4988-AB4D-CE60C4D951D4}" xr6:coauthVersionLast="47" xr6:coauthVersionMax="47" xr10:uidLastSave="{00000000-0000-0000-0000-000000000000}"/>
  <workbookProtection workbookPassword="8C64" lockStructure="1"/>
  <bookViews>
    <workbookView xWindow="-108" yWindow="-108" windowWidth="23256" windowHeight="12456" activeTab="1" xr2:uid="{00000000-000D-0000-FFFF-FFFF00000000}"/>
  </bookViews>
  <sheets>
    <sheet name="Case1_Detailed_MTC" sheetId="6" r:id="rId1"/>
    <sheet name="Input_Data" sheetId="8" r:id="rId2"/>
    <sheet name="Expected Impact" sheetId="10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44" i="6" l="1"/>
  <c r="AE244" i="6"/>
  <c r="AD244" i="6"/>
  <c r="N67" i="6" l="1"/>
  <c r="AH38" i="6"/>
  <c r="AH37" i="6"/>
  <c r="AH36" i="6"/>
  <c r="AH35" i="6"/>
  <c r="AH34" i="6"/>
  <c r="AH33" i="6"/>
  <c r="AH32" i="6"/>
  <c r="AH31" i="6"/>
  <c r="AH30" i="6"/>
  <c r="AH29" i="6"/>
  <c r="AH28" i="6"/>
  <c r="AH27" i="6"/>
  <c r="AH26" i="6"/>
  <c r="AH39" i="6"/>
  <c r="J18" i="10"/>
  <c r="H18" i="10"/>
  <c r="E18" i="10"/>
  <c r="C18" i="10"/>
  <c r="J17" i="10"/>
  <c r="H17" i="10"/>
  <c r="E17" i="10"/>
  <c r="C17" i="10"/>
  <c r="J16" i="10"/>
  <c r="H16" i="10"/>
  <c r="E16" i="10"/>
  <c r="C16" i="10"/>
  <c r="J15" i="10"/>
  <c r="H15" i="10"/>
  <c r="E15" i="10"/>
  <c r="C15" i="10"/>
  <c r="J14" i="10"/>
  <c r="H14" i="10"/>
  <c r="E14" i="10"/>
  <c r="C14" i="10"/>
  <c r="J13" i="10"/>
  <c r="H13" i="10"/>
  <c r="E13" i="10"/>
  <c r="C13" i="10"/>
  <c r="J12" i="10"/>
  <c r="H12" i="10"/>
  <c r="E12" i="10"/>
  <c r="C12" i="10"/>
  <c r="J11" i="10"/>
  <c r="H11" i="10"/>
  <c r="E11" i="10"/>
  <c r="C11" i="10"/>
  <c r="J10" i="10"/>
  <c r="H10" i="10"/>
  <c r="E10" i="10"/>
  <c r="C10" i="10"/>
  <c r="J9" i="10"/>
  <c r="H9" i="10"/>
  <c r="E9" i="10"/>
  <c r="C9" i="10"/>
  <c r="J8" i="10"/>
  <c r="H8" i="10"/>
  <c r="E8" i="10"/>
  <c r="C8" i="10"/>
  <c r="J7" i="10"/>
  <c r="H7" i="10"/>
  <c r="E7" i="10"/>
  <c r="C7" i="10"/>
  <c r="J6" i="10"/>
  <c r="H6" i="10"/>
  <c r="E6" i="10"/>
  <c r="C6" i="10"/>
  <c r="J20" i="10"/>
  <c r="J19" i="10"/>
  <c r="E20" i="10"/>
  <c r="E19" i="10"/>
  <c r="H20" i="10"/>
  <c r="H19" i="10"/>
  <c r="C20" i="10"/>
  <c r="C19" i="10"/>
  <c r="U40" i="6"/>
  <c r="G20" i="10" s="1"/>
  <c r="F20" i="10" l="1"/>
  <c r="AD249" i="6" l="1"/>
  <c r="AH40" i="6"/>
  <c r="AH46" i="6" s="1"/>
  <c r="Q58" i="6" s="1"/>
  <c r="AI40" i="6"/>
  <c r="AI235" i="6" l="1"/>
  <c r="U39" i="6"/>
  <c r="T39" i="6"/>
  <c r="D19" i="10" s="1"/>
  <c r="S39" i="6"/>
  <c r="B19" i="10" s="1"/>
  <c r="U38" i="6"/>
  <c r="T38" i="6"/>
  <c r="D18" i="10" s="1"/>
  <c r="S38" i="6"/>
  <c r="B18" i="10" s="1"/>
  <c r="U37" i="6"/>
  <c r="T37" i="6"/>
  <c r="D17" i="10" s="1"/>
  <c r="S37" i="6"/>
  <c r="B17" i="10" s="1"/>
  <c r="U36" i="6"/>
  <c r="T36" i="6"/>
  <c r="D16" i="10" s="1"/>
  <c r="S36" i="6"/>
  <c r="B16" i="10" s="1"/>
  <c r="U35" i="6"/>
  <c r="T35" i="6"/>
  <c r="D15" i="10" s="1"/>
  <c r="S35" i="6"/>
  <c r="B15" i="10" s="1"/>
  <c r="U34" i="6"/>
  <c r="T34" i="6"/>
  <c r="D14" i="10" s="1"/>
  <c r="S34" i="6"/>
  <c r="B14" i="10" s="1"/>
  <c r="U33" i="6"/>
  <c r="T33" i="6"/>
  <c r="D13" i="10" s="1"/>
  <c r="S33" i="6"/>
  <c r="B13" i="10" s="1"/>
  <c r="U32" i="6"/>
  <c r="T32" i="6"/>
  <c r="D12" i="10" s="1"/>
  <c r="S32" i="6"/>
  <c r="B12" i="10" s="1"/>
  <c r="U31" i="6"/>
  <c r="T31" i="6"/>
  <c r="D11" i="10" s="1"/>
  <c r="S31" i="6"/>
  <c r="B11" i="10" s="1"/>
  <c r="U30" i="6"/>
  <c r="T30" i="6"/>
  <c r="D10" i="10" s="1"/>
  <c r="S30" i="6"/>
  <c r="B10" i="10" s="1"/>
  <c r="U29" i="6"/>
  <c r="T29" i="6"/>
  <c r="D9" i="10" s="1"/>
  <c r="S29" i="6"/>
  <c r="B9" i="10" s="1"/>
  <c r="U28" i="6"/>
  <c r="T28" i="6"/>
  <c r="D8" i="10" s="1"/>
  <c r="S28" i="6"/>
  <c r="B8" i="10" s="1"/>
  <c r="U27" i="6"/>
  <c r="T27" i="6"/>
  <c r="D7" i="10" s="1"/>
  <c r="S27" i="6"/>
  <c r="B7" i="10" s="1"/>
  <c r="U26" i="6"/>
  <c r="T26" i="6"/>
  <c r="D6" i="10" s="1"/>
  <c r="S26" i="6"/>
  <c r="B6" i="10" s="1"/>
  <c r="T40" i="6"/>
  <c r="D20" i="10" s="1"/>
  <c r="S40" i="6"/>
  <c r="B20" i="10" s="1"/>
  <c r="I20" i="10" s="1"/>
  <c r="F9" i="10" l="1"/>
  <c r="I9" i="10" s="1"/>
  <c r="G9" i="10"/>
  <c r="G12" i="10"/>
  <c r="F12" i="10"/>
  <c r="I12" i="10" s="1"/>
  <c r="F7" i="10"/>
  <c r="G7" i="10"/>
  <c r="F11" i="10"/>
  <c r="G11" i="10"/>
  <c r="F15" i="10"/>
  <c r="I15" i="10" s="1"/>
  <c r="G15" i="10"/>
  <c r="F19" i="10"/>
  <c r="I19" i="10" s="1"/>
  <c r="K19" i="10" s="1"/>
  <c r="Y39" i="6" s="1"/>
  <c r="G19" i="10"/>
  <c r="F13" i="10"/>
  <c r="I13" i="10" s="1"/>
  <c r="G13" i="10"/>
  <c r="F17" i="10"/>
  <c r="G17" i="10"/>
  <c r="G8" i="10"/>
  <c r="F8" i="10"/>
  <c r="I8" i="10" s="1"/>
  <c r="G16" i="10"/>
  <c r="F16" i="10"/>
  <c r="I16" i="10" s="1"/>
  <c r="F6" i="10"/>
  <c r="G6" i="10"/>
  <c r="F10" i="10"/>
  <c r="G10" i="10"/>
  <c r="F14" i="10"/>
  <c r="I14" i="10" s="1"/>
  <c r="G14" i="10"/>
  <c r="F18" i="10"/>
  <c r="I18" i="10" s="1"/>
  <c r="K18" i="10" s="1"/>
  <c r="Y38" i="6" s="1"/>
  <c r="G18" i="10"/>
  <c r="I6" i="10"/>
  <c r="I17" i="10"/>
  <c r="I7" i="10"/>
  <c r="I11" i="10"/>
  <c r="I10" i="10"/>
  <c r="K20" i="10"/>
  <c r="Y40" i="6" s="1"/>
  <c r="Z39" i="6" l="1"/>
  <c r="AC39" i="6"/>
  <c r="AG39" i="6" s="1"/>
  <c r="Z40" i="6"/>
  <c r="AC40" i="6"/>
  <c r="AG40" i="6" s="1"/>
  <c r="Z38" i="6"/>
  <c r="AC38" i="6"/>
  <c r="K11" i="10"/>
  <c r="Y31" i="6" s="1"/>
  <c r="K16" i="10"/>
  <c r="Y36" i="6" s="1"/>
  <c r="K10" i="10"/>
  <c r="Y30" i="6" s="1"/>
  <c r="K17" i="10"/>
  <c r="Y37" i="6" s="1"/>
  <c r="K8" i="10"/>
  <c r="Y28" i="6" s="1"/>
  <c r="K12" i="10"/>
  <c r="Y32" i="6" s="1"/>
  <c r="K14" i="10"/>
  <c r="Y34" i="6" s="1"/>
  <c r="K13" i="10"/>
  <c r="Y33" i="6" s="1"/>
  <c r="K15" i="10"/>
  <c r="Y35" i="6" s="1"/>
  <c r="K9" i="10"/>
  <c r="Y29" i="6" s="1"/>
  <c r="K7" i="10"/>
  <c r="Y27" i="6" s="1"/>
  <c r="K6" i="10"/>
  <c r="Y26" i="6" s="1"/>
  <c r="Z31" i="6" l="1"/>
  <c r="AC31" i="6"/>
  <c r="AG31" i="6" s="1"/>
  <c r="Z37" i="6"/>
  <c r="AC37" i="6"/>
  <c r="AG37" i="6" s="1"/>
  <c r="Z29" i="6"/>
  <c r="AC29" i="6"/>
  <c r="AG29" i="6" s="1"/>
  <c r="Z33" i="6"/>
  <c r="AC33" i="6"/>
  <c r="AG33" i="6" s="1"/>
  <c r="Z28" i="6"/>
  <c r="AC28" i="6"/>
  <c r="AG28" i="6" s="1"/>
  <c r="Z26" i="6"/>
  <c r="AC26" i="6"/>
  <c r="AG26" i="6" s="1"/>
  <c r="Z35" i="6"/>
  <c r="AC35" i="6"/>
  <c r="AG35" i="6" s="1"/>
  <c r="Z34" i="6"/>
  <c r="Z46" i="6" s="1"/>
  <c r="AC34" i="6"/>
  <c r="AG34" i="6" s="1"/>
  <c r="Z32" i="6"/>
  <c r="AC32" i="6"/>
  <c r="AG32" i="6" s="1"/>
  <c r="Z30" i="6"/>
  <c r="AC30" i="6"/>
  <c r="AG30" i="6" s="1"/>
  <c r="Z36" i="6"/>
  <c r="AC36" i="6"/>
  <c r="AG36" i="6" s="1"/>
  <c r="Z27" i="6"/>
  <c r="AC27" i="6"/>
  <c r="AG27" i="6" s="1"/>
  <c r="AG38" i="6"/>
  <c r="AC46" i="6" l="1"/>
  <c r="AI237" i="6"/>
  <c r="AI236" i="6"/>
  <c r="AH258" i="6"/>
  <c r="AG258" i="6"/>
  <c r="AF258" i="6"/>
  <c r="AH257" i="6"/>
  <c r="AG257" i="6"/>
  <c r="AF257" i="6"/>
  <c r="E6" i="8"/>
  <c r="D6" i="8"/>
  <c r="C6" i="8"/>
  <c r="AF259" i="6" s="1"/>
  <c r="AH253" i="6"/>
  <c r="AH252" i="6"/>
  <c r="AH251" i="6"/>
  <c r="AH250" i="6"/>
  <c r="AF253" i="6"/>
  <c r="AF252" i="6"/>
  <c r="AF251" i="6"/>
  <c r="AF250" i="6"/>
  <c r="AF249" i="6"/>
  <c r="AE253" i="6"/>
  <c r="AE252" i="6"/>
  <c r="AE251" i="6"/>
  <c r="AE250" i="6"/>
  <c r="AE249" i="6"/>
  <c r="I12" i="8" l="1"/>
  <c r="AG259" i="6"/>
  <c r="AH259" i="6"/>
  <c r="AF46" i="6" l="1"/>
  <c r="AD46" i="6"/>
  <c r="AI39" i="6"/>
  <c r="AI38" i="6"/>
  <c r="AI37" i="6"/>
  <c r="AI36" i="6"/>
  <c r="AI35" i="6"/>
  <c r="AI34" i="6"/>
  <c r="AI33" i="6"/>
  <c r="AI32" i="6"/>
  <c r="AI31" i="6"/>
  <c r="AI30" i="6"/>
  <c r="AI29" i="6"/>
  <c r="AI28" i="6"/>
  <c r="AI27" i="6"/>
  <c r="AI26" i="6"/>
  <c r="P60" i="6"/>
  <c r="P68" i="6" s="1"/>
  <c r="AE46" i="6"/>
  <c r="AD14" i="6"/>
  <c r="AD13" i="6"/>
  <c r="AD12" i="6"/>
  <c r="AD11" i="6"/>
  <c r="AI46" i="6" l="1"/>
  <c r="Q60" i="6" s="1"/>
  <c r="P71" i="6"/>
  <c r="P76" i="6" s="1"/>
  <c r="Q68" i="6" l="1"/>
  <c r="Q71" i="6" s="1"/>
  <c r="Q76" i="6" s="1"/>
  <c r="AG46" i="6"/>
  <c r="Q61" i="6"/>
  <c r="Q62" i="6" s="1"/>
  <c r="Q75" i="6"/>
  <c r="P74" i="6"/>
  <c r="Q77" i="6" l="1"/>
  <c r="Q67" i="6"/>
  <c r="P56" i="6"/>
  <c r="P57" i="6" s="1"/>
  <c r="Q56" i="6"/>
  <c r="Q74" i="6"/>
  <c r="Q57" i="6"/>
  <c r="Q78" i="6" l="1"/>
  <c r="Q79" i="6"/>
  <c r="P61" i="6" l="1"/>
  <c r="P62" i="6" l="1"/>
  <c r="P67" i="6"/>
  <c r="I13" i="8"/>
  <c r="P75" i="6"/>
  <c r="P77" i="6" s="1"/>
  <c r="P78" i="6" l="1"/>
  <c r="P79" i="6"/>
  <c r="K19" i="8"/>
  <c r="AF239" i="6" s="1"/>
  <c r="K17" i="8"/>
  <c r="K16" i="8"/>
  <c r="K18" i="8"/>
  <c r="AD253" i="6" l="1"/>
  <c r="L6" i="8"/>
  <c r="L17" i="8"/>
  <c r="I17" i="8" s="1"/>
  <c r="AI251" i="6" s="1"/>
  <c r="K6" i="8"/>
  <c r="L16" i="8"/>
  <c r="I16" i="8" s="1"/>
  <c r="AI250" i="6" s="1"/>
  <c r="J6" i="8"/>
  <c r="L19" i="8"/>
  <c r="I19" i="8" s="1"/>
  <c r="AI253" i="6" s="1"/>
  <c r="AF237" i="6"/>
  <c r="AD251" i="6" s="1"/>
  <c r="AF236" i="6"/>
  <c r="AF238" i="6"/>
  <c r="AD252" i="6" s="1"/>
  <c r="L18" i="8"/>
  <c r="I18" i="8" s="1"/>
  <c r="AI252" i="6" s="1"/>
  <c r="AD250" i="6" l="1"/>
  <c r="AG251" i="6"/>
  <c r="AG253" i="6"/>
  <c r="AG252" i="6"/>
  <c r="AH249" i="6" l="1"/>
  <c r="K15" i="8"/>
  <c r="H6" i="8" l="1"/>
  <c r="I6" i="8"/>
  <c r="G15" i="8"/>
  <c r="L15" i="8"/>
  <c r="I15" i="8" s="1"/>
  <c r="AI249" i="6" s="1"/>
  <c r="AF235" i="6"/>
  <c r="AG249" i="6" l="1"/>
  <c r="AG250" i="6"/>
</calcChain>
</file>

<file path=xl/sharedStrings.xml><?xml version="1.0" encoding="utf-8"?>
<sst xmlns="http://schemas.openxmlformats.org/spreadsheetml/2006/main" count="205" uniqueCount="168">
  <si>
    <t>Risk Category</t>
  </si>
  <si>
    <t>Risk Type</t>
  </si>
  <si>
    <t>Volume Loss or Shift</t>
  </si>
  <si>
    <t>Product Excess Cost</t>
  </si>
  <si>
    <t>Operative Excess Cost</t>
  </si>
  <si>
    <t>Avoid</t>
  </si>
  <si>
    <t>Risk Adjusted CC</t>
  </si>
  <si>
    <t>Penalties</t>
  </si>
  <si>
    <t>Add. Cost</t>
  </si>
  <si>
    <t>Price Erosion</t>
  </si>
  <si>
    <t>Transfer</t>
  </si>
  <si>
    <t>Management</t>
  </si>
  <si>
    <t xml:space="preserve">Contractural/Legal </t>
  </si>
  <si>
    <t>Accept</t>
  </si>
  <si>
    <t>Committed Cost</t>
  </si>
  <si>
    <t>Product Release</t>
  </si>
  <si>
    <t>Remedy</t>
  </si>
  <si>
    <t>Others</t>
  </si>
  <si>
    <t>Warranty</t>
  </si>
  <si>
    <t>Exploit</t>
  </si>
  <si>
    <t>Currency Hedging</t>
  </si>
  <si>
    <t>Pro-active</t>
  </si>
  <si>
    <t>Share</t>
  </si>
  <si>
    <t>AR Delay</t>
  </si>
  <si>
    <t>Reactive</t>
  </si>
  <si>
    <t>Enhance</t>
  </si>
  <si>
    <t>Termination</t>
  </si>
  <si>
    <t>Risk ID</t>
  </si>
  <si>
    <t>Project Name</t>
  </si>
  <si>
    <t>Initial Solution Cost</t>
  </si>
  <si>
    <t>Raised By</t>
  </si>
  <si>
    <t>Risk Owner</t>
  </si>
  <si>
    <t>Proximity
(Materialized Date)</t>
  </si>
  <si>
    <t>Response 
Strategy</t>
  </si>
  <si>
    <t>Response
 Impact</t>
  </si>
  <si>
    <t>Response Action Summary</t>
  </si>
  <si>
    <t>Control
Impact</t>
  </si>
  <si>
    <t>Control
Prob.</t>
  </si>
  <si>
    <t>Residual Proximity
Date</t>
  </si>
  <si>
    <t>Secondary Risk
(If any)</t>
  </si>
  <si>
    <t>Risk Status 
(Active/Closed)</t>
  </si>
  <si>
    <t>Risk Actionee</t>
  </si>
  <si>
    <t>Yasser Soliman</t>
  </si>
  <si>
    <t>Project Shutdown</t>
  </si>
  <si>
    <t>Customer Own Interest</t>
  </si>
  <si>
    <t>Supplier/Sub-contractor Credit Rating</t>
  </si>
  <si>
    <t>XXX</t>
  </si>
  <si>
    <t>Contract breach - wrong plan</t>
  </si>
  <si>
    <t>Shutdown Cost - dismissal of Employee</t>
  </si>
  <si>
    <t>Highly Skilled PM (Monitor, Control, PIP)</t>
  </si>
  <si>
    <t>Contract breach - Lack of SoW</t>
  </si>
  <si>
    <t>Shutdown Cost - dismissal of Redeployment of Asset</t>
  </si>
  <si>
    <t>Well Defined Triggers of Breaching Clauses</t>
  </si>
  <si>
    <t>Contract breach - Lack of resources</t>
  </si>
  <si>
    <t>Uncovered Sunk Cost</t>
  </si>
  <si>
    <t>Well Defined Responsibility Matrix (RACI) - SoR</t>
  </si>
  <si>
    <t>Loss of Anticipated Profit</t>
  </si>
  <si>
    <t>Avoid penalty/termination in Contract Clauses</t>
  </si>
  <si>
    <t>Brand/Reputation Damage</t>
  </si>
  <si>
    <t>Bundled Offers</t>
  </si>
  <si>
    <t>Back to Back agreement with 3rd party</t>
  </si>
  <si>
    <t>Lock_In period</t>
  </si>
  <si>
    <t>Termination Fee</t>
  </si>
  <si>
    <t>Notice Period</t>
  </si>
  <si>
    <t>Limit Penalty amount in contract clauses</t>
  </si>
  <si>
    <t>Secure Customer Outstanding payment after termination</t>
  </si>
  <si>
    <t>Contingent Plan</t>
  </si>
  <si>
    <t>Residual
NEV</t>
  </si>
  <si>
    <t>Total Price calculation</t>
  </si>
  <si>
    <t>Before Mitigation</t>
  </si>
  <si>
    <t>After Mitigation</t>
  </si>
  <si>
    <t>Total</t>
  </si>
  <si>
    <t>Initial Sales Price</t>
  </si>
  <si>
    <t>Total Cost (Sol. Cost+Risk Cost)</t>
  </si>
  <si>
    <t>Penalty Calculation</t>
  </si>
  <si>
    <t>Sales Price</t>
  </si>
  <si>
    <t>Finanl Price = Sales Price + Penalties</t>
  </si>
  <si>
    <t>Total Cost (Sol. Cost+Risk Cost+ Penalty)</t>
  </si>
  <si>
    <t>GP</t>
  </si>
  <si>
    <t>CUST_A</t>
  </si>
  <si>
    <t>PROBABILITY</t>
  </si>
  <si>
    <t>Low</t>
  </si>
  <si>
    <t>High</t>
  </si>
  <si>
    <t>Medium</t>
  </si>
  <si>
    <t>Negligible</t>
  </si>
  <si>
    <t>Major</t>
  </si>
  <si>
    <t xml:space="preserve">Cost = </t>
  </si>
  <si>
    <t>Impact</t>
  </si>
  <si>
    <t>%</t>
  </si>
  <si>
    <t>1- Negligible</t>
  </si>
  <si>
    <t>2- Minor</t>
  </si>
  <si>
    <t>3- Serious</t>
  </si>
  <si>
    <t>4- Major</t>
  </si>
  <si>
    <t>5- Sever</t>
  </si>
  <si>
    <t xml:space="preserve">Price = </t>
  </si>
  <si>
    <t xml:space="preserve">GP = </t>
  </si>
  <si>
    <t>New GM</t>
  </si>
  <si>
    <t>GP Left</t>
  </si>
  <si>
    <t>Probabiliy</t>
  </si>
  <si>
    <t>Probability</t>
  </si>
  <si>
    <t>GM%</t>
  </si>
  <si>
    <t>Serious</t>
  </si>
  <si>
    <t>Severe</t>
  </si>
  <si>
    <t>Minor</t>
  </si>
  <si>
    <t>Insert Data in Yellow Cells</t>
  </si>
  <si>
    <t>Initial GM =</t>
  </si>
  <si>
    <t>OPT./Min.
Impact</t>
  </si>
  <si>
    <t>TYPICAL
Impact</t>
  </si>
  <si>
    <t>PESS./Max.
Impact</t>
  </si>
  <si>
    <t>PERT
Mean</t>
  </si>
  <si>
    <t>Triangle 
Mean</t>
  </si>
  <si>
    <t>Beta Model
Mean</t>
  </si>
  <si>
    <t>Residual
EV</t>
  </si>
  <si>
    <t xml:space="preserve">Initial 
EV </t>
  </si>
  <si>
    <t>Threat after Control</t>
  </si>
  <si>
    <t>Contingency 
Reserve</t>
  </si>
  <si>
    <t>Management
Reserve</t>
  </si>
  <si>
    <t>Threat after
Control + Cont.</t>
  </si>
  <si>
    <t>ACTION</t>
  </si>
  <si>
    <t>Risk Budget</t>
  </si>
  <si>
    <t>Beta Model Mean</t>
  </si>
  <si>
    <t>Mean
Impact
(PERT/Triang/Beta)</t>
  </si>
  <si>
    <t>PERT Mean</t>
  </si>
  <si>
    <t>PERT Std</t>
  </si>
  <si>
    <t>Triangle Mean</t>
  </si>
  <si>
    <t>Triangle Std</t>
  </si>
  <si>
    <t>Selected Mean</t>
  </si>
  <si>
    <t>Selected Std</t>
  </si>
  <si>
    <t>Expected Impact</t>
  </si>
  <si>
    <t>Beta Std</t>
  </si>
  <si>
    <t xml:space="preserve">Market/Political </t>
  </si>
  <si>
    <t xml:space="preserve">Customer/Supplier </t>
  </si>
  <si>
    <t>Project Logistics</t>
  </si>
  <si>
    <t>Project Execution</t>
  </si>
  <si>
    <t>Contractual/Legal</t>
  </si>
  <si>
    <t xml:space="preserve">Financial </t>
  </si>
  <si>
    <t>Bond</t>
  </si>
  <si>
    <t>Inflation</t>
  </si>
  <si>
    <t>Strategy</t>
  </si>
  <si>
    <t>% Loss from 
Initial GP</t>
  </si>
  <si>
    <t>GP Loss Value &lt;</t>
  </si>
  <si>
    <t>New GM%</t>
  </si>
  <si>
    <t>GP Loss %</t>
  </si>
  <si>
    <t>Expected Value Status</t>
  </si>
  <si>
    <t>Severity Level</t>
  </si>
  <si>
    <t>Cost of Control
(CoC)</t>
  </si>
  <si>
    <t>Risk - Initial EV</t>
  </si>
  <si>
    <t>Risk - Residual NEV</t>
  </si>
  <si>
    <t>Cost Baseline (Sol. Cost+Risk Cost)</t>
  </si>
  <si>
    <t>Initial Residual Risk</t>
  </si>
  <si>
    <t>Cost of Risk Control =</t>
  </si>
  <si>
    <t xml:space="preserve">Risk Cost </t>
  </si>
  <si>
    <t>Risk Cost (Excluding Contract Penalties)</t>
  </si>
  <si>
    <t>Sales Price (Initial Sales + Risk Cost)</t>
  </si>
  <si>
    <t>Final Sales Price (Init. Sales + Risk + Penalties)</t>
  </si>
  <si>
    <t>Penalty %</t>
  </si>
  <si>
    <t>Penalty Probability</t>
  </si>
  <si>
    <t>Penalty EV = Penalty * Probability</t>
  </si>
  <si>
    <t>GM (Risk Cost + Penalty)</t>
  </si>
  <si>
    <t>Risk Event
(What might happen?)</t>
  </si>
  <si>
    <t>Root Cause
(Reason)</t>
  </si>
  <si>
    <t>Consequences/Impact
(Result)</t>
  </si>
  <si>
    <t>Pro + Pre</t>
  </si>
  <si>
    <t>Sales volume Drop by 50%, GM drop by 20%</t>
  </si>
  <si>
    <t>Reduce/Mitigate</t>
  </si>
  <si>
    <t xml:space="preserve">likelihood 
of this Impact </t>
  </si>
  <si>
    <t>Estimated
Impact</t>
  </si>
  <si>
    <t>Estimated Prob.
Of Occurrence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</si>
</sst>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  <numFmt numFmtId="167" formatCode="0.0%"/>
    <numFmt numFmtId="168" formatCode="_(* #,##0.0_);_(* \(#,##0.0\);_(* &quot;-&quot;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u/>
      <sz val="20"/>
      <color rgb="FFC00000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u/>
      <sz val="11"/>
      <color rgb="FFC00000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20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textRotation="90"/>
      <protection hidden="1"/>
    </xf>
    <xf numFmtId="1" fontId="8" fillId="9" borderId="28" xfId="0" applyNumberFormat="1" applyFont="1" applyFill="1" applyBorder="1" applyAlignment="1" applyProtection="1">
      <alignment horizontal="center" vertical="center" wrapText="1"/>
      <protection hidden="1"/>
    </xf>
    <xf numFmtId="1" fontId="8" fillId="9" borderId="33" xfId="0" applyNumberFormat="1" applyFont="1" applyFill="1" applyBorder="1" applyAlignment="1" applyProtection="1">
      <alignment horizontal="center" vertical="center" wrapText="1"/>
      <protection hidden="1"/>
    </xf>
    <xf numFmtId="1" fontId="8" fillId="9" borderId="29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24" xfId="0" applyFill="1" applyBorder="1" applyAlignment="1" applyProtection="1">
      <alignment horizontal="center" vertical="center"/>
      <protection hidden="1"/>
    </xf>
    <xf numFmtId="0" fontId="9" fillId="12" borderId="25" xfId="0" applyFont="1" applyFill="1" applyBorder="1" applyAlignment="1" applyProtection="1">
      <alignment horizontal="center" vertical="top" wrapText="1"/>
      <protection hidden="1"/>
    </xf>
    <xf numFmtId="0" fontId="0" fillId="11" borderId="27" xfId="0" applyFill="1" applyBorder="1" applyAlignment="1" applyProtection="1">
      <alignment horizontal="center" vertical="center"/>
      <protection hidden="1"/>
    </xf>
    <xf numFmtId="0" fontId="9" fillId="12" borderId="25" xfId="0" applyFont="1" applyFill="1" applyBorder="1" applyAlignment="1" applyProtection="1">
      <alignment horizontal="center" vertical="center" wrapText="1"/>
      <protection hidden="1"/>
    </xf>
    <xf numFmtId="0" fontId="0" fillId="11" borderId="2" xfId="0" applyFill="1" applyBorder="1" applyAlignment="1" applyProtection="1">
      <alignment horizontal="center" vertical="center"/>
      <protection hidden="1"/>
    </xf>
    <xf numFmtId="0" fontId="0" fillId="13" borderId="2" xfId="0" applyFill="1" applyBorder="1" applyAlignment="1" applyProtection="1">
      <alignment horizontal="center" vertical="center"/>
      <protection hidden="1"/>
    </xf>
    <xf numFmtId="0" fontId="10" fillId="14" borderId="34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center" indent="1"/>
      <protection hidden="1"/>
    </xf>
    <xf numFmtId="165" fontId="0" fillId="0" borderId="8" xfId="0" applyNumberForma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3" fontId="0" fillId="0" borderId="9" xfId="0" applyNumberFormat="1" applyBorder="1" applyAlignment="1" applyProtection="1">
      <alignment horizontal="center" vertical="center"/>
      <protection hidden="1"/>
    </xf>
    <xf numFmtId="165" fontId="0" fillId="0" borderId="0" xfId="0" applyNumberFormat="1" applyAlignment="1" applyProtection="1">
      <alignment horizontal="center" vertical="center"/>
      <protection hidden="1"/>
    </xf>
    <xf numFmtId="3" fontId="0" fillId="0" borderId="0" xfId="0" applyNumberFormat="1" applyAlignment="1" applyProtection="1">
      <alignment horizontal="center" vertical="center"/>
      <protection hidden="1"/>
    </xf>
    <xf numFmtId="0" fontId="0" fillId="0" borderId="19" xfId="0" applyBorder="1" applyProtection="1">
      <protection hidden="1"/>
    </xf>
    <xf numFmtId="0" fontId="0" fillId="0" borderId="20" xfId="0" applyBorder="1" applyProtection="1">
      <protection hidden="1"/>
    </xf>
    <xf numFmtId="0" fontId="0" fillId="0" borderId="21" xfId="0" applyBorder="1" applyProtection="1">
      <protection hidden="1"/>
    </xf>
    <xf numFmtId="0" fontId="0" fillId="0" borderId="22" xfId="0" applyBorder="1" applyProtection="1">
      <protection hidden="1"/>
    </xf>
    <xf numFmtId="0" fontId="15" fillId="17" borderId="0" xfId="0" applyFont="1" applyFill="1" applyProtection="1">
      <protection hidden="1"/>
    </xf>
    <xf numFmtId="0" fontId="0" fillId="17" borderId="0" xfId="0" applyFill="1" applyProtection="1">
      <protection hidden="1"/>
    </xf>
    <xf numFmtId="0" fontId="0" fillId="0" borderId="28" xfId="0" applyBorder="1" applyAlignment="1" applyProtection="1">
      <alignment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0" fillId="0" borderId="23" xfId="0" applyBorder="1" applyProtection="1">
      <protection hidden="1"/>
    </xf>
    <xf numFmtId="0" fontId="0" fillId="0" borderId="24" xfId="0" applyBorder="1" applyAlignment="1" applyProtection="1">
      <alignment vertical="center"/>
      <protection hidden="1"/>
    </xf>
    <xf numFmtId="0" fontId="17" fillId="0" borderId="2" xfId="0" applyFont="1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left" vertical="center"/>
      <protection hidden="1"/>
    </xf>
    <xf numFmtId="167" fontId="2" fillId="4" borderId="27" xfId="2" applyNumberFormat="1" applyFont="1" applyFill="1" applyBorder="1" applyAlignment="1" applyProtection="1">
      <alignment horizontal="center" vertical="center"/>
      <protection hidden="1"/>
    </xf>
    <xf numFmtId="0" fontId="0" fillId="0" borderId="35" xfId="0" applyBorder="1" applyProtection="1">
      <protection hidden="1"/>
    </xf>
    <xf numFmtId="165" fontId="0" fillId="4" borderId="34" xfId="0" applyNumberFormat="1" applyFill="1" applyBorder="1" applyProtection="1">
      <protection hidden="1"/>
    </xf>
    <xf numFmtId="0" fontId="2" fillId="9" borderId="28" xfId="0" applyFont="1" applyFill="1" applyBorder="1" applyAlignment="1" applyProtection="1">
      <alignment horizontal="center"/>
      <protection hidden="1"/>
    </xf>
    <xf numFmtId="0" fontId="2" fillId="9" borderId="29" xfId="0" applyFont="1" applyFill="1" applyBorder="1" applyAlignment="1" applyProtection="1">
      <alignment horizontal="center"/>
      <protection hidden="1"/>
    </xf>
    <xf numFmtId="0" fontId="2" fillId="9" borderId="33" xfId="0" applyFont="1" applyFill="1" applyBorder="1" applyAlignment="1" applyProtection="1">
      <alignment horizontal="center"/>
      <protection hidden="1"/>
    </xf>
    <xf numFmtId="0" fontId="2" fillId="9" borderId="39" xfId="0" applyFont="1" applyFill="1" applyBorder="1" applyAlignment="1" applyProtection="1">
      <alignment horizontal="center" wrapText="1"/>
      <protection hidden="1"/>
    </xf>
    <xf numFmtId="0" fontId="2" fillId="9" borderId="39" xfId="0" applyFont="1" applyFill="1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left"/>
      <protection hidden="1"/>
    </xf>
    <xf numFmtId="164" fontId="0" fillId="0" borderId="0" xfId="0" applyNumberFormat="1" applyProtection="1">
      <protection hidden="1"/>
    </xf>
    <xf numFmtId="167" fontId="0" fillId="0" borderId="1" xfId="2" applyNumberFormat="1" applyFont="1" applyFill="1" applyBorder="1" applyAlignment="1" applyProtection="1">
      <alignment horizontal="center"/>
      <protection hidden="1"/>
    </xf>
    <xf numFmtId="165" fontId="0" fillId="16" borderId="29" xfId="0" applyNumberFormat="1" applyFill="1" applyBorder="1" applyAlignment="1" applyProtection="1">
      <alignment horizontal="center"/>
      <protection hidden="1"/>
    </xf>
    <xf numFmtId="165" fontId="0" fillId="0" borderId="38" xfId="0" applyNumberFormat="1" applyBorder="1" applyAlignment="1" applyProtection="1">
      <alignment horizontal="center"/>
      <protection hidden="1"/>
    </xf>
    <xf numFmtId="165" fontId="0" fillId="16" borderId="27" xfId="0" applyNumberFormat="1" applyFill="1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left"/>
      <protection hidden="1"/>
    </xf>
    <xf numFmtId="167" fontId="2" fillId="0" borderId="9" xfId="2" applyNumberFormat="1" applyFont="1" applyFill="1" applyBorder="1" applyAlignment="1" applyProtection="1">
      <alignment horizontal="center"/>
      <protection hidden="1"/>
    </xf>
    <xf numFmtId="165" fontId="0" fillId="16" borderId="9" xfId="0" applyNumberFormat="1" applyFill="1" applyBorder="1" applyAlignment="1" applyProtection="1">
      <alignment horizontal="center"/>
      <protection hidden="1"/>
    </xf>
    <xf numFmtId="167" fontId="0" fillId="0" borderId="5" xfId="2" applyNumberFormat="1" applyFont="1" applyFill="1" applyBorder="1" applyAlignment="1" applyProtection="1">
      <alignment horizontal="center"/>
      <protection hidden="1"/>
    </xf>
    <xf numFmtId="167" fontId="2" fillId="0" borderId="40" xfId="2" applyNumberFormat="1" applyFont="1" applyFill="1" applyBorder="1" applyProtection="1">
      <protection hidden="1"/>
    </xf>
    <xf numFmtId="165" fontId="0" fillId="0" borderId="40" xfId="0" applyNumberFormat="1" applyBorder="1" applyAlignment="1" applyProtection="1">
      <alignment horizontal="center"/>
      <protection hidden="1"/>
    </xf>
    <xf numFmtId="165" fontId="0" fillId="0" borderId="9" xfId="0" applyNumberFormat="1" applyBorder="1" applyAlignment="1" applyProtection="1">
      <alignment horizontal="center"/>
      <protection hidden="1"/>
    </xf>
    <xf numFmtId="0" fontId="0" fillId="0" borderId="6" xfId="0" applyBorder="1" applyProtection="1">
      <protection hidden="1"/>
    </xf>
    <xf numFmtId="0" fontId="0" fillId="0" borderId="26" xfId="0" applyBorder="1" applyProtection="1">
      <protection hidden="1"/>
    </xf>
    <xf numFmtId="0" fontId="0" fillId="0" borderId="7" xfId="0" applyBorder="1" applyProtection="1">
      <protection hidden="1"/>
    </xf>
    <xf numFmtId="10" fontId="0" fillId="0" borderId="0" xfId="2" applyNumberFormat="1" applyFont="1" applyProtection="1">
      <protection hidden="1"/>
    </xf>
    <xf numFmtId="0" fontId="0" fillId="0" borderId="0" xfId="0" applyProtection="1">
      <protection locked="0" hidden="1"/>
    </xf>
    <xf numFmtId="165" fontId="0" fillId="3" borderId="29" xfId="1" applyNumberFormat="1" applyFont="1" applyFill="1" applyBorder="1" applyAlignment="1" applyProtection="1">
      <alignment vertical="center"/>
      <protection locked="0" hidden="1"/>
    </xf>
    <xf numFmtId="165" fontId="0" fillId="3" borderId="27" xfId="1" applyNumberFormat="1" applyFont="1" applyFill="1" applyBorder="1" applyAlignment="1" applyProtection="1">
      <alignment vertical="center"/>
      <protection locked="0" hidden="1"/>
    </xf>
    <xf numFmtId="167" fontId="0" fillId="3" borderId="28" xfId="2" applyNumberFormat="1" applyFont="1" applyFill="1" applyBorder="1" applyProtection="1">
      <protection locked="0" hidden="1"/>
    </xf>
    <xf numFmtId="167" fontId="0" fillId="3" borderId="24" xfId="2" applyNumberFormat="1" applyFont="1" applyFill="1" applyBorder="1" applyProtection="1">
      <protection locked="0" hidden="1"/>
    </xf>
    <xf numFmtId="167" fontId="0" fillId="3" borderId="8" xfId="2" applyNumberFormat="1" applyFont="1" applyFill="1" applyBorder="1" applyProtection="1">
      <protection locked="0" hidden="1"/>
    </xf>
    <xf numFmtId="9" fontId="17" fillId="3" borderId="2" xfId="2" applyFont="1" applyFill="1" applyBorder="1" applyAlignment="1" applyProtection="1">
      <alignment horizontal="center" vertical="center"/>
      <protection locked="0" hidden="1"/>
    </xf>
    <xf numFmtId="167" fontId="0" fillId="3" borderId="27" xfId="2" applyNumberFormat="1" applyFont="1" applyFill="1" applyBorder="1" applyAlignment="1" applyProtection="1">
      <alignment horizontal="center"/>
      <protection locked="0" hidden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19" borderId="12" xfId="0" applyFill="1" applyBorder="1" applyAlignment="1">
      <alignment horizontal="center" vertical="center" wrapText="1"/>
    </xf>
    <xf numFmtId="0" fontId="0" fillId="19" borderId="3" xfId="0" applyFill="1" applyBorder="1" applyAlignment="1">
      <alignment horizontal="center" vertical="center" wrapText="1"/>
    </xf>
    <xf numFmtId="0" fontId="0" fillId="19" borderId="3" xfId="0" applyFill="1" applyBorder="1" applyAlignment="1">
      <alignment horizontal="center" vertical="top" wrapText="1"/>
    </xf>
    <xf numFmtId="0" fontId="0" fillId="19" borderId="11" xfId="0" applyFill="1" applyBorder="1" applyAlignment="1">
      <alignment horizontal="center" vertical="center" wrapText="1"/>
    </xf>
    <xf numFmtId="0" fontId="7" fillId="19" borderId="11" xfId="0" applyFont="1" applyFill="1" applyBorder="1" applyAlignment="1">
      <alignment horizontal="center" vertical="center" wrapText="1"/>
    </xf>
    <xf numFmtId="0" fontId="7" fillId="19" borderId="3" xfId="0" applyFont="1" applyFill="1" applyBorder="1" applyAlignment="1">
      <alignment horizontal="center" vertical="center" wrapText="1"/>
    </xf>
    <xf numFmtId="0" fontId="2" fillId="19" borderId="12" xfId="0" applyFont="1" applyFill="1" applyBorder="1" applyAlignment="1">
      <alignment horizontal="center" vertical="center" wrapText="1"/>
    </xf>
    <xf numFmtId="0" fontId="2" fillId="19" borderId="32" xfId="0" applyFont="1" applyFill="1" applyBorder="1" applyAlignment="1">
      <alignment horizontal="center" vertical="center" wrapText="1"/>
    </xf>
    <xf numFmtId="0" fontId="2" fillId="19" borderId="36" xfId="0" applyFont="1" applyFill="1" applyBorder="1" applyAlignment="1">
      <alignment horizontal="center" vertical="center" wrapText="1"/>
    </xf>
    <xf numFmtId="0" fontId="0" fillId="9" borderId="14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0" fillId="8" borderId="4" xfId="1" applyNumberFormat="1" applyFont="1" applyFill="1" applyBorder="1" applyAlignment="1" applyProtection="1">
      <alignment horizontal="center" vertical="center" wrapText="1"/>
    </xf>
    <xf numFmtId="165" fontId="0" fillId="0" borderId="4" xfId="1" applyNumberFormat="1" applyFont="1" applyFill="1" applyBorder="1" applyAlignment="1" applyProtection="1">
      <alignment horizontal="center" vertical="center" wrapText="1"/>
    </xf>
    <xf numFmtId="9" fontId="0" fillId="8" borderId="4" xfId="2" applyFont="1" applyFill="1" applyBorder="1" applyAlignment="1" applyProtection="1">
      <alignment horizontal="center" vertical="center" wrapText="1"/>
    </xf>
    <xf numFmtId="165" fontId="0" fillId="0" borderId="15" xfId="1" applyNumberFormat="1" applyFont="1" applyFill="1" applyBorder="1" applyAlignment="1" applyProtection="1">
      <alignment horizontal="center" vertical="center" wrapText="1"/>
    </xf>
    <xf numFmtId="165" fontId="0" fillId="0" borderId="16" xfId="1" applyNumberFormat="1" applyFont="1" applyFill="1" applyBorder="1" applyAlignment="1" applyProtection="1">
      <alignment horizontal="center" vertical="center" wrapText="1"/>
    </xf>
    <xf numFmtId="9" fontId="0" fillId="8" borderId="10" xfId="2" applyFont="1" applyFill="1" applyBorder="1" applyAlignment="1" applyProtection="1">
      <alignment horizontal="center" vertical="center" wrapText="1"/>
    </xf>
    <xf numFmtId="165" fontId="0" fillId="8" borderId="4" xfId="1" applyNumberFormat="1" applyFont="1" applyFill="1" applyBorder="1" applyAlignment="1" applyProtection="1">
      <alignment horizontal="center" vertical="center" wrapText="1"/>
    </xf>
    <xf numFmtId="165" fontId="0" fillId="8" borderId="15" xfId="1" applyNumberFormat="1" applyFont="1" applyFill="1" applyBorder="1" applyAlignment="1" applyProtection="1">
      <alignment horizontal="center" vertical="center" wrapText="1"/>
    </xf>
    <xf numFmtId="165" fontId="0" fillId="20" borderId="16" xfId="1" applyNumberFormat="1" applyFont="1" applyFill="1" applyBorder="1" applyAlignment="1" applyProtection="1">
      <alignment horizontal="center" vertical="center" wrapText="1"/>
    </xf>
    <xf numFmtId="165" fontId="0" fillId="20" borderId="4" xfId="1" applyNumberFormat="1" applyFont="1" applyFill="1" applyBorder="1" applyAlignment="1" applyProtection="1">
      <alignment horizontal="center" vertical="center" wrapText="1"/>
    </xf>
    <xf numFmtId="165" fontId="0" fillId="20" borderId="37" xfId="1" applyNumberFormat="1" applyFont="1" applyFill="1" applyBorder="1" applyAlignment="1" applyProtection="1">
      <alignment horizontal="center" vertical="center" wrapText="1"/>
    </xf>
    <xf numFmtId="165" fontId="0" fillId="8" borderId="10" xfId="1" applyNumberFormat="1" applyFont="1" applyFill="1" applyBorder="1" applyAlignment="1" applyProtection="1">
      <alignment horizontal="center" vertical="center" wrapText="1"/>
    </xf>
    <xf numFmtId="0" fontId="2" fillId="8" borderId="24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center" vertical="center" wrapText="1"/>
    </xf>
    <xf numFmtId="165" fontId="0" fillId="8" borderId="2" xfId="1" applyNumberFormat="1" applyFont="1" applyFill="1" applyBorder="1" applyAlignment="1" applyProtection="1">
      <alignment horizontal="center" vertical="center" wrapText="1"/>
    </xf>
    <xf numFmtId="165" fontId="0" fillId="8" borderId="1" xfId="1" applyNumberFormat="1" applyFont="1" applyFill="1" applyBorder="1" applyAlignment="1" applyProtection="1">
      <alignment horizontal="center" vertical="center" wrapText="1"/>
    </xf>
    <xf numFmtId="0" fontId="0" fillId="8" borderId="24" xfId="0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left" vertical="center" wrapText="1"/>
    </xf>
    <xf numFmtId="166" fontId="0" fillId="0" borderId="4" xfId="1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7" fillId="19" borderId="32" xfId="0" applyFont="1" applyFill="1" applyBorder="1" applyAlignment="1">
      <alignment horizontal="center" vertical="center" wrapText="1"/>
    </xf>
    <xf numFmtId="0" fontId="7" fillId="19" borderId="12" xfId="0" applyFont="1" applyFill="1" applyBorder="1" applyAlignment="1">
      <alignment horizontal="center" vertical="center" wrapText="1"/>
    </xf>
    <xf numFmtId="165" fontId="2" fillId="0" borderId="32" xfId="1" applyNumberFormat="1" applyFont="1" applyFill="1" applyBorder="1" applyAlignment="1" applyProtection="1">
      <alignment horizontal="center" vertical="center" wrapText="1"/>
    </xf>
    <xf numFmtId="165" fontId="2" fillId="0" borderId="0" xfId="1" applyNumberFormat="1" applyFont="1" applyFill="1" applyBorder="1" applyAlignment="1" applyProtection="1">
      <alignment horizontal="center" vertical="center" wrapText="1"/>
    </xf>
    <xf numFmtId="165" fontId="2" fillId="0" borderId="43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1" applyNumberFormat="1" applyFont="1" applyAlignment="1" applyProtection="1">
      <alignment horizontal="left" vertical="center" wrapText="1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165" fontId="2" fillId="0" borderId="2" xfId="1" applyNumberFormat="1" applyFont="1" applyFill="1" applyBorder="1" applyAlignment="1" applyProtection="1">
      <alignment horizontal="center" vertical="center" wrapText="1"/>
    </xf>
    <xf numFmtId="165" fontId="0" fillId="3" borderId="2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65" fontId="0" fillId="0" borderId="2" xfId="1" applyNumberFormat="1" applyFont="1" applyFill="1" applyBorder="1" applyAlignment="1" applyProtection="1">
      <alignment horizontal="center" vertical="center" wrapText="1"/>
    </xf>
    <xf numFmtId="0" fontId="20" fillId="0" borderId="24" xfId="0" applyFont="1" applyBorder="1" applyAlignment="1">
      <alignment horizontal="left" vertical="center" wrapText="1"/>
    </xf>
    <xf numFmtId="165" fontId="17" fillId="4" borderId="2" xfId="1" applyNumberFormat="1" applyFont="1" applyFill="1" applyBorder="1" applyAlignment="1" applyProtection="1">
      <alignment horizontal="center" vertical="center" wrapText="1"/>
    </xf>
    <xf numFmtId="165" fontId="17" fillId="0" borderId="2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5" fontId="0" fillId="0" borderId="25" xfId="1" applyNumberFormat="1" applyFont="1" applyFill="1" applyBorder="1" applyAlignment="1" applyProtection="1">
      <alignment horizontal="center" vertical="center" wrapText="1"/>
    </xf>
    <xf numFmtId="167" fontId="0" fillId="0" borderId="0" xfId="2" applyNumberFormat="1" applyFont="1" applyAlignment="1" applyProtection="1">
      <alignment horizontal="center" vertical="center" wrapText="1"/>
    </xf>
    <xf numFmtId="0" fontId="21" fillId="0" borderId="22" xfId="0" applyFont="1" applyBorder="1" applyAlignment="1">
      <alignment horizontal="left" vertical="center" wrapText="1"/>
    </xf>
    <xf numFmtId="167" fontId="6" fillId="4" borderId="2" xfId="2" applyNumberFormat="1" applyFont="1" applyFill="1" applyBorder="1" applyAlignment="1" applyProtection="1">
      <alignment horizontal="righ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10" borderId="19" xfId="0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right" vertical="center" wrapText="1"/>
    </xf>
    <xf numFmtId="165" fontId="0" fillId="0" borderId="2" xfId="1" applyNumberFormat="1" applyFont="1" applyBorder="1" applyAlignment="1" applyProtection="1">
      <alignment horizontal="center" vertical="center" wrapText="1"/>
    </xf>
    <xf numFmtId="165" fontId="0" fillId="0" borderId="27" xfId="1" applyNumberFormat="1" applyFont="1" applyBorder="1" applyAlignment="1" applyProtection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9" fontId="17" fillId="3" borderId="2" xfId="0" applyNumberFormat="1" applyFont="1" applyFill="1" applyBorder="1" applyAlignment="1">
      <alignment horizontal="center" vertical="center" wrapText="1"/>
    </xf>
    <xf numFmtId="165" fontId="0" fillId="0" borderId="23" xfId="0" applyNumberForma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5" fontId="2" fillId="5" borderId="5" xfId="1" applyNumberFormat="1" applyFont="1" applyFill="1" applyBorder="1" applyAlignment="1" applyProtection="1">
      <alignment horizontal="center" vertical="center" wrapText="1"/>
    </xf>
    <xf numFmtId="165" fontId="2" fillId="5" borderId="9" xfId="1" applyNumberFormat="1" applyFont="1" applyFill="1" applyBorder="1" applyAlignment="1" applyProtection="1">
      <alignment horizontal="center" vertical="center" wrapText="1"/>
    </xf>
    <xf numFmtId="0" fontId="7" fillId="6" borderId="19" xfId="0" applyFont="1" applyFill="1" applyBorder="1" applyAlignment="1">
      <alignment horizontal="left" vertical="center" wrapText="1"/>
    </xf>
    <xf numFmtId="0" fontId="0" fillId="0" borderId="22" xfId="0" applyBorder="1" applyAlignment="1">
      <alignment horizontal="right" vertical="center" wrapText="1"/>
    </xf>
    <xf numFmtId="165" fontId="0" fillId="0" borderId="30" xfId="0" applyNumberFormat="1" applyBorder="1" applyAlignment="1">
      <alignment horizontal="right" vertical="center" wrapText="1"/>
    </xf>
    <xf numFmtId="165" fontId="0" fillId="0" borderId="30" xfId="1" applyNumberFormat="1" applyFont="1" applyBorder="1" applyAlignment="1" applyProtection="1">
      <alignment horizontal="right" vertical="center" wrapText="1"/>
    </xf>
    <xf numFmtId="0" fontId="22" fillId="0" borderId="22" xfId="0" applyFont="1" applyBorder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167" fontId="14" fillId="4" borderId="31" xfId="2" applyNumberFormat="1" applyFont="1" applyFill="1" applyBorder="1" applyAlignment="1" applyProtection="1">
      <alignment horizontal="right" vertical="center" wrapText="1"/>
    </xf>
    <xf numFmtId="167" fontId="14" fillId="4" borderId="2" xfId="2" applyNumberFormat="1" applyFont="1" applyFill="1" applyBorder="1" applyAlignment="1" applyProtection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165" fontId="0" fillId="0" borderId="0" xfId="1" applyNumberFormat="1" applyFont="1" applyAlignment="1" applyProtection="1">
      <alignment horizontal="center" vertical="center" wrapText="1"/>
    </xf>
    <xf numFmtId="1" fontId="0" fillId="9" borderId="19" xfId="0" applyNumberFormat="1" applyFill="1" applyBorder="1" applyAlignment="1">
      <alignment horizontal="center" vertical="center" wrapText="1"/>
    </xf>
    <xf numFmtId="165" fontId="0" fillId="0" borderId="29" xfId="1" applyNumberFormat="1" applyFont="1" applyBorder="1" applyAlignment="1" applyProtection="1">
      <alignment horizontal="center" vertical="center" wrapText="1"/>
    </xf>
    <xf numFmtId="167" fontId="0" fillId="0" borderId="29" xfId="2" applyNumberFormat="1" applyFont="1" applyBorder="1" applyAlignment="1" applyProtection="1">
      <alignment horizontal="center" vertical="center" wrapText="1"/>
    </xf>
    <xf numFmtId="0" fontId="2" fillId="9" borderId="24" xfId="0" applyFont="1" applyFill="1" applyBorder="1" applyAlignment="1">
      <alignment horizontal="center" vertical="center" wrapText="1"/>
    </xf>
    <xf numFmtId="167" fontId="0" fillId="0" borderId="27" xfId="2" applyNumberFormat="1" applyFont="1" applyBorder="1" applyAlignment="1" applyProtection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167" fontId="0" fillId="0" borderId="9" xfId="2" applyNumberFormat="1" applyFont="1" applyBorder="1" applyAlignment="1" applyProtection="1">
      <alignment horizontal="center" vertical="center" wrapText="1"/>
    </xf>
    <xf numFmtId="165" fontId="0" fillId="0" borderId="9" xfId="1" applyNumberFormat="1" applyFont="1" applyBorder="1" applyAlignment="1" applyProtection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49" fontId="0" fillId="0" borderId="29" xfId="0" applyNumberFormat="1" applyBorder="1" applyAlignment="1">
      <alignment horizontal="center" vertical="center" wrapText="1"/>
    </xf>
    <xf numFmtId="49" fontId="0" fillId="0" borderId="27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16" borderId="3" xfId="0" applyFont="1" applyFill="1" applyBorder="1" applyAlignment="1">
      <alignment horizontal="center" vertical="center" wrapText="1"/>
    </xf>
    <xf numFmtId="0" fontId="17" fillId="16" borderId="13" xfId="0" applyFont="1" applyFill="1" applyBorder="1" applyAlignment="1">
      <alignment horizontal="center" vertical="center" wrapText="1"/>
    </xf>
    <xf numFmtId="0" fontId="2" fillId="19" borderId="0" xfId="0" applyFont="1" applyFill="1" applyAlignment="1">
      <alignment horizontal="center" vertical="center" wrapText="1"/>
    </xf>
    <xf numFmtId="0" fontId="0" fillId="19" borderId="0" xfId="0" applyFill="1" applyAlignment="1">
      <alignment horizontal="center" vertical="center" wrapText="1"/>
    </xf>
    <xf numFmtId="9" fontId="2" fillId="19" borderId="0" xfId="2" applyFont="1" applyFill="1" applyAlignment="1" applyProtection="1">
      <alignment horizontal="right" vertical="center" wrapText="1"/>
    </xf>
    <xf numFmtId="165" fontId="12" fillId="15" borderId="2" xfId="1" applyNumberFormat="1" applyFont="1" applyFill="1" applyBorder="1" applyAlignment="1" applyProtection="1">
      <alignment horizontal="center" vertical="center" wrapText="1"/>
    </xf>
    <xf numFmtId="1" fontId="8" fillId="9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9" fontId="2" fillId="0" borderId="2" xfId="2" applyFont="1" applyBorder="1" applyAlignment="1" applyProtection="1">
      <alignment horizontal="right" vertical="center" wrapText="1"/>
    </xf>
    <xf numFmtId="167" fontId="3" fillId="0" borderId="2" xfId="2" applyNumberFormat="1" applyFont="1" applyBorder="1" applyAlignment="1" applyProtection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1" fontId="8" fillId="9" borderId="28" xfId="0" applyNumberFormat="1" applyFont="1" applyFill="1" applyBorder="1" applyAlignment="1">
      <alignment horizontal="center" vertical="center" wrapText="1"/>
    </xf>
    <xf numFmtId="1" fontId="8" fillId="9" borderId="33" xfId="0" applyNumberFormat="1" applyFont="1" applyFill="1" applyBorder="1" applyAlignment="1">
      <alignment horizontal="center" vertical="center" wrapText="1"/>
    </xf>
    <xf numFmtId="1" fontId="8" fillId="9" borderId="29" xfId="0" applyNumberFormat="1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/>
    </xf>
    <xf numFmtId="0" fontId="9" fillId="12" borderId="25" xfId="0" applyFont="1" applyFill="1" applyBorder="1" applyAlignment="1">
      <alignment horizontal="center" vertical="top" wrapText="1"/>
    </xf>
    <xf numFmtId="0" fontId="0" fillId="11" borderId="27" xfId="0" applyFill="1" applyBorder="1" applyAlignment="1">
      <alignment horizontal="center" vertical="center"/>
    </xf>
    <xf numFmtId="9" fontId="0" fillId="0" borderId="8" xfId="2" applyFont="1" applyBorder="1" applyAlignment="1" applyProtection="1">
      <alignment horizontal="center" vertical="center"/>
    </xf>
    <xf numFmtId="9" fontId="0" fillId="0" borderId="5" xfId="2" applyFont="1" applyBorder="1" applyAlignment="1" applyProtection="1">
      <alignment horizontal="center" vertical="center"/>
    </xf>
    <xf numFmtId="9" fontId="0" fillId="0" borderId="9" xfId="2" applyFont="1" applyBorder="1" applyAlignment="1" applyProtection="1">
      <alignment horizontal="center" vertical="center"/>
    </xf>
    <xf numFmtId="0" fontId="0" fillId="16" borderId="22" xfId="0" applyFill="1" applyBorder="1" applyProtection="1">
      <protection hidden="1"/>
    </xf>
    <xf numFmtId="0" fontId="0" fillId="16" borderId="23" xfId="0" applyFill="1" applyBorder="1" applyProtection="1">
      <protection hidden="1"/>
    </xf>
    <xf numFmtId="0" fontId="0" fillId="18" borderId="0" xfId="0" applyFill="1" applyAlignment="1" applyProtection="1">
      <alignment horizontal="right"/>
      <protection hidden="1"/>
    </xf>
    <xf numFmtId="0" fontId="0" fillId="18" borderId="0" xfId="0" applyFill="1" applyProtection="1">
      <protection hidden="1"/>
    </xf>
    <xf numFmtId="165" fontId="0" fillId="0" borderId="2" xfId="1" applyNumberFormat="1" applyFont="1" applyBorder="1" applyAlignment="1" applyProtection="1">
      <alignment horizontal="right"/>
      <protection hidden="1"/>
    </xf>
    <xf numFmtId="165" fontId="0" fillId="4" borderId="2" xfId="1" applyNumberFormat="1" applyFont="1" applyFill="1" applyBorder="1" applyProtection="1">
      <protection hidden="1"/>
    </xf>
    <xf numFmtId="9" fontId="0" fillId="4" borderId="2" xfId="0" applyNumberFormat="1" applyFill="1" applyBorder="1" applyProtection="1">
      <protection hidden="1"/>
    </xf>
    <xf numFmtId="0" fontId="1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</cellXfs>
  <cellStyles count="6">
    <cellStyle name="Comma" xfId="1" builtinId="3"/>
    <cellStyle name="Comma 2" xfId="5" xr:uid="{00000000-0005-0000-0000-000001000000}"/>
    <cellStyle name="Normal" xfId="0" builtinId="0"/>
    <cellStyle name="Normal 3" xfId="4" xr:uid="{00000000-0005-0000-0000-000003000000}"/>
    <cellStyle name="Percent" xfId="2" builtinId="5"/>
    <cellStyle name="Percent 3" xfId="3" xr:uid="{00000000-0005-0000-0000-000005000000}"/>
  </cellStyles>
  <dxfs count="0"/>
  <tableStyles count="0" defaultTableStyle="TableStyleMedium2" defaultPivotStyle="PivotStyleLight16"/>
  <colors>
    <mruColors>
      <color rgb="FFFFFFCC"/>
      <color rgb="FFDDEEF1"/>
      <color rgb="FFCCCCFF"/>
      <color rgb="FFCCECFF"/>
      <color rgb="FFFFFFFF"/>
      <color rgb="FFCCFF99"/>
      <color rgb="FFCCFFCC"/>
      <color rgb="FFD3F9FB"/>
      <color rgb="FFFFFF99"/>
      <color rgb="FFFFEE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2110317</xdr:colOff>
          <xdr:row>16</xdr:row>
          <xdr:rowOff>190499</xdr:rowOff>
        </xdr:from>
        <xdr:to>
          <xdr:col>21</xdr:col>
          <xdr:colOff>181505</xdr:colOff>
          <xdr:row>23</xdr:row>
          <xdr:rowOff>112186</xdr:rowOff>
        </xdr:to>
        <xdr:pic>
          <xdr:nvPicPr>
            <xdr:cNvPr id="8" name="Picture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D$248:$AI$253" spid="_x0000_s13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98484" y="761999"/>
              <a:ext cx="6442604" cy="1255187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</xdr:colOff>
          <xdr:row>16</xdr:row>
          <xdr:rowOff>84667</xdr:rowOff>
        </xdr:from>
        <xdr:to>
          <xdr:col>34</xdr:col>
          <xdr:colOff>635000</xdr:colOff>
          <xdr:row>22</xdr:row>
          <xdr:rowOff>165363</xdr:rowOff>
        </xdr:to>
        <xdr:pic>
          <xdr:nvPicPr>
            <xdr:cNvPr id="10" name="Picture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D$248:$AI$253" spid="_x0000_s13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0035502" y="656167"/>
              <a:ext cx="6339415" cy="122369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5</xdr:col>
      <xdr:colOff>624422</xdr:colOff>
      <xdr:row>16</xdr:row>
      <xdr:rowOff>121935</xdr:rowOff>
    </xdr:from>
    <xdr:to>
      <xdr:col>7</xdr:col>
      <xdr:colOff>2824709</xdr:colOff>
      <xdr:row>23</xdr:row>
      <xdr:rowOff>341558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021672" y="2979435"/>
          <a:ext cx="5766870" cy="1553123"/>
        </a:xfrm>
        <a:prstGeom prst="rect">
          <a:avLst/>
        </a:prstGeom>
      </xdr:spPr>
    </xdr:pic>
    <xdr:clientData/>
  </xdr:twoCellAnchor>
  <xdr:twoCellAnchor editAs="oneCell">
    <xdr:from>
      <xdr:col>9</xdr:col>
      <xdr:colOff>952501</xdr:colOff>
      <xdr:row>24</xdr:row>
      <xdr:rowOff>455083</xdr:rowOff>
    </xdr:from>
    <xdr:to>
      <xdr:col>9</xdr:col>
      <xdr:colOff>1142977</xdr:colOff>
      <xdr:row>24</xdr:row>
      <xdr:rowOff>645559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19001" y="2370666"/>
          <a:ext cx="190476" cy="190476"/>
        </a:xfrm>
        <a:prstGeom prst="rect">
          <a:avLst/>
        </a:prstGeom>
      </xdr:spPr>
    </xdr:pic>
    <xdr:clientData/>
  </xdr:twoCellAnchor>
  <xdr:twoCellAnchor editAs="oneCell">
    <xdr:from>
      <xdr:col>10</xdr:col>
      <xdr:colOff>1111215</xdr:colOff>
      <xdr:row>24</xdr:row>
      <xdr:rowOff>455069</xdr:rowOff>
    </xdr:from>
    <xdr:to>
      <xdr:col>10</xdr:col>
      <xdr:colOff>1301691</xdr:colOff>
      <xdr:row>24</xdr:row>
      <xdr:rowOff>645545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684215" y="2370652"/>
          <a:ext cx="190476" cy="190476"/>
        </a:xfrm>
        <a:prstGeom prst="rect">
          <a:avLst/>
        </a:prstGeom>
      </xdr:spPr>
    </xdr:pic>
    <xdr:clientData/>
  </xdr:twoCellAnchor>
  <xdr:twoCellAnchor editAs="oneCell">
    <xdr:from>
      <xdr:col>11</xdr:col>
      <xdr:colOff>423334</xdr:colOff>
      <xdr:row>24</xdr:row>
      <xdr:rowOff>465667</xdr:rowOff>
    </xdr:from>
    <xdr:to>
      <xdr:col>11</xdr:col>
      <xdr:colOff>613810</xdr:colOff>
      <xdr:row>24</xdr:row>
      <xdr:rowOff>656143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361584" y="2381250"/>
          <a:ext cx="190476" cy="190476"/>
        </a:xfrm>
        <a:prstGeom prst="rect">
          <a:avLst/>
        </a:prstGeom>
      </xdr:spPr>
    </xdr:pic>
    <xdr:clientData/>
  </xdr:twoCellAnchor>
  <xdr:twoCellAnchor editAs="oneCell">
    <xdr:from>
      <xdr:col>12</xdr:col>
      <xdr:colOff>395802</xdr:colOff>
      <xdr:row>24</xdr:row>
      <xdr:rowOff>469905</xdr:rowOff>
    </xdr:from>
    <xdr:to>
      <xdr:col>12</xdr:col>
      <xdr:colOff>586278</xdr:colOff>
      <xdr:row>24</xdr:row>
      <xdr:rowOff>660381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00802" y="2385488"/>
          <a:ext cx="190476" cy="190476"/>
        </a:xfrm>
        <a:prstGeom prst="rect">
          <a:avLst/>
        </a:prstGeom>
      </xdr:spPr>
    </xdr:pic>
    <xdr:clientData/>
  </xdr:twoCellAnchor>
  <xdr:twoCellAnchor editAs="oneCell">
    <xdr:from>
      <xdr:col>13</xdr:col>
      <xdr:colOff>2592835</xdr:colOff>
      <xdr:row>24</xdr:row>
      <xdr:rowOff>465652</xdr:rowOff>
    </xdr:from>
    <xdr:to>
      <xdr:col>13</xdr:col>
      <xdr:colOff>2783311</xdr:colOff>
      <xdr:row>24</xdr:row>
      <xdr:rowOff>656128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832835" y="2381235"/>
          <a:ext cx="190476" cy="190476"/>
        </a:xfrm>
        <a:prstGeom prst="rect">
          <a:avLst/>
        </a:prstGeom>
      </xdr:spPr>
    </xdr:pic>
    <xdr:clientData/>
  </xdr:twoCellAnchor>
  <xdr:twoCellAnchor editAs="oneCell">
    <xdr:from>
      <xdr:col>22</xdr:col>
      <xdr:colOff>910166</xdr:colOff>
      <xdr:row>24</xdr:row>
      <xdr:rowOff>137583</xdr:rowOff>
    </xdr:from>
    <xdr:to>
      <xdr:col>22</xdr:col>
      <xdr:colOff>1100642</xdr:colOff>
      <xdr:row>24</xdr:row>
      <xdr:rowOff>328059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463749" y="2053166"/>
          <a:ext cx="190476" cy="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O259"/>
  <sheetViews>
    <sheetView showGridLines="0" topLeftCell="L26" zoomScale="90" zoomScaleNormal="90" workbookViewId="0">
      <selection activeCell="AD42" sqref="AD42"/>
    </sheetView>
  </sheetViews>
  <sheetFormatPr defaultColWidth="9.109375" defaultRowHeight="14.4" outlineLevelCol="1" x14ac:dyDescent="0.3"/>
  <cols>
    <col min="1" max="1" width="1.6640625" style="66" customWidth="1"/>
    <col min="2" max="2" width="7.109375" style="66" bestFit="1" customWidth="1"/>
    <col min="3" max="3" width="13.109375" style="66" bestFit="1" customWidth="1"/>
    <col min="4" max="5" width="14.44140625" style="66" bestFit="1" customWidth="1"/>
    <col min="6" max="6" width="21.109375" style="66" bestFit="1" customWidth="1"/>
    <col min="7" max="7" width="32.44140625" style="66" bestFit="1" customWidth="1"/>
    <col min="8" max="8" width="47.5546875" style="66" bestFit="1" customWidth="1"/>
    <col min="9" max="9" width="18.44140625" style="66" bestFit="1" customWidth="1"/>
    <col min="10" max="10" width="18.109375" style="66" bestFit="1" customWidth="1"/>
    <col min="11" max="11" width="20.44140625" style="66" bestFit="1" customWidth="1"/>
    <col min="12" max="12" width="10" style="66" bestFit="1" customWidth="1"/>
    <col min="13" max="13" width="11.6640625" style="66" customWidth="1"/>
    <col min="14" max="14" width="42.5546875" style="66" bestFit="1" customWidth="1"/>
    <col min="15" max="15" width="51.5546875" style="66" bestFit="1" customWidth="1"/>
    <col min="16" max="17" width="10.33203125" style="66" bestFit="1" customWidth="1"/>
    <col min="18" max="18" width="10.88671875" style="66" bestFit="1" customWidth="1"/>
    <col min="19" max="20" width="9.6640625" style="66" hidden="1" customWidth="1" outlineLevel="1"/>
    <col min="21" max="21" width="11.109375" style="66" hidden="1" customWidth="1" outlineLevel="1"/>
    <col min="22" max="22" width="13.6640625" style="66" bestFit="1" customWidth="1" collapsed="1"/>
    <col min="23" max="23" width="18.109375" style="66" bestFit="1" customWidth="1"/>
    <col min="24" max="24" width="11.33203125" style="66" bestFit="1" customWidth="1"/>
    <col min="25" max="25" width="9.88671875" style="66" customWidth="1"/>
    <col min="26" max="26" width="10.33203125" style="66" bestFit="1" customWidth="1"/>
    <col min="27" max="27" width="8.33203125" style="66" customWidth="1"/>
    <col min="28" max="28" width="9.109375" style="66" customWidth="1"/>
    <col min="29" max="29" width="13.44140625" style="66" customWidth="1"/>
    <col min="30" max="30" width="20.88671875" style="66" bestFit="1" customWidth="1"/>
    <col min="31" max="31" width="12" style="66" bestFit="1" customWidth="1"/>
    <col min="32" max="32" width="18.33203125" style="66" bestFit="1" customWidth="1"/>
    <col min="33" max="33" width="19.5546875" style="66" customWidth="1"/>
    <col min="34" max="34" width="14.88671875" style="66" bestFit="1" customWidth="1"/>
    <col min="35" max="35" width="11.33203125" style="66" bestFit="1" customWidth="1"/>
    <col min="36" max="36" width="10" style="66" bestFit="1" customWidth="1"/>
    <col min="37" max="37" width="13" style="66" customWidth="1"/>
    <col min="38" max="38" width="17.5546875" style="66" customWidth="1"/>
    <col min="39" max="39" width="11.88671875" style="66" customWidth="1"/>
    <col min="40" max="40" width="12.44140625" style="66" customWidth="1"/>
    <col min="41" max="16384" width="9.109375" style="66"/>
  </cols>
  <sheetData>
    <row r="2" spans="10:31" hidden="1" x14ac:dyDescent="0.3">
      <c r="J2" s="67" t="s">
        <v>0</v>
      </c>
      <c r="K2" s="67" t="s">
        <v>1</v>
      </c>
      <c r="L2" s="68"/>
      <c r="M2" s="67" t="s">
        <v>138</v>
      </c>
      <c r="N2" s="67" t="s">
        <v>87</v>
      </c>
    </row>
    <row r="3" spans="10:31" hidden="1" x14ac:dyDescent="0.3">
      <c r="J3" s="68"/>
      <c r="K3" s="68" t="s">
        <v>2</v>
      </c>
      <c r="L3" s="68"/>
      <c r="M3" s="68" t="s">
        <v>5</v>
      </c>
      <c r="N3" s="68" t="s">
        <v>6</v>
      </c>
    </row>
    <row r="4" spans="10:31" ht="28.8" hidden="1" x14ac:dyDescent="0.3">
      <c r="J4" s="68" t="s">
        <v>131</v>
      </c>
      <c r="K4" s="68" t="s">
        <v>3</v>
      </c>
      <c r="L4" s="68"/>
      <c r="M4" s="68" t="s">
        <v>164</v>
      </c>
      <c r="N4" s="68" t="s">
        <v>8</v>
      </c>
    </row>
    <row r="5" spans="10:31" hidden="1" x14ac:dyDescent="0.3">
      <c r="J5" s="68" t="s">
        <v>130</v>
      </c>
      <c r="K5" s="68" t="s">
        <v>4</v>
      </c>
      <c r="L5" s="68"/>
      <c r="M5" s="68" t="s">
        <v>10</v>
      </c>
      <c r="N5" s="68" t="s">
        <v>11</v>
      </c>
    </row>
    <row r="6" spans="10:31" ht="28.8" hidden="1" x14ac:dyDescent="0.3">
      <c r="J6" s="68" t="s">
        <v>15</v>
      </c>
      <c r="K6" s="68" t="s">
        <v>7</v>
      </c>
      <c r="L6" s="68"/>
      <c r="M6" s="66" t="s">
        <v>66</v>
      </c>
      <c r="N6" s="68" t="s">
        <v>14</v>
      </c>
    </row>
    <row r="7" spans="10:31" hidden="1" x14ac:dyDescent="0.3">
      <c r="J7" s="68" t="s">
        <v>132</v>
      </c>
      <c r="K7" s="68" t="s">
        <v>9</v>
      </c>
      <c r="L7" s="68"/>
      <c r="M7" s="68" t="s">
        <v>13</v>
      </c>
      <c r="N7" s="68"/>
      <c r="P7" s="66">
        <v>100</v>
      </c>
    </row>
    <row r="8" spans="10:31" hidden="1" x14ac:dyDescent="0.3">
      <c r="J8" s="68" t="s">
        <v>133</v>
      </c>
      <c r="K8" s="68" t="s">
        <v>23</v>
      </c>
      <c r="L8" s="68"/>
      <c r="M8" s="68" t="s">
        <v>19</v>
      </c>
      <c r="N8" s="68"/>
    </row>
    <row r="9" spans="10:31" hidden="1" x14ac:dyDescent="0.3">
      <c r="J9" s="68" t="s">
        <v>134</v>
      </c>
      <c r="K9" s="68" t="s">
        <v>136</v>
      </c>
      <c r="L9" s="68"/>
      <c r="M9" s="68" t="s">
        <v>22</v>
      </c>
      <c r="N9" s="68"/>
    </row>
    <row r="10" spans="10:31" hidden="1" x14ac:dyDescent="0.3">
      <c r="J10" s="68" t="s">
        <v>135</v>
      </c>
      <c r="K10" s="68" t="s">
        <v>18</v>
      </c>
      <c r="L10" s="68"/>
      <c r="M10" s="68" t="s">
        <v>25</v>
      </c>
      <c r="N10" s="68"/>
    </row>
    <row r="11" spans="10:31" hidden="1" x14ac:dyDescent="0.3">
      <c r="J11" s="68" t="s">
        <v>17</v>
      </c>
      <c r="K11" s="68" t="s">
        <v>26</v>
      </c>
      <c r="L11" s="67" t="s">
        <v>16</v>
      </c>
      <c r="M11" s="68"/>
      <c r="N11" s="68"/>
      <c r="AB11" s="66">
        <v>20</v>
      </c>
      <c r="AD11" s="69" t="e">
        <f>((#REF!*(#REF!/(AB11-#REF!))))/(#REF!*#REF!)</f>
        <v>#REF!</v>
      </c>
      <c r="AE11" s="69"/>
    </row>
    <row r="12" spans="10:31" hidden="1" x14ac:dyDescent="0.3">
      <c r="J12" s="68"/>
      <c r="K12" s="68" t="s">
        <v>137</v>
      </c>
      <c r="L12" s="68" t="s">
        <v>21</v>
      </c>
      <c r="N12" s="68"/>
      <c r="AB12" s="66">
        <v>22</v>
      </c>
      <c r="AD12" s="69" t="e">
        <f>((#REF!*(#REF!/(AB12-#REF!))))/(#REF!*#REF!)</f>
        <v>#REF!</v>
      </c>
      <c r="AE12" s="69"/>
    </row>
    <row r="13" spans="10:31" hidden="1" x14ac:dyDescent="0.3">
      <c r="J13" s="68"/>
      <c r="K13" s="68" t="s">
        <v>20</v>
      </c>
      <c r="L13" s="68" t="s">
        <v>24</v>
      </c>
      <c r="N13" s="68"/>
      <c r="AB13" s="66">
        <v>30</v>
      </c>
      <c r="AD13" s="69" t="e">
        <f>((#REF!*(#REF!/(AB13-#REF!))))/(#REF!*#REF!)</f>
        <v>#REF!</v>
      </c>
      <c r="AE13" s="69"/>
    </row>
    <row r="14" spans="10:31" hidden="1" x14ac:dyDescent="0.3">
      <c r="J14" s="68"/>
      <c r="K14" s="68"/>
      <c r="L14" s="68" t="s">
        <v>162</v>
      </c>
      <c r="N14" s="68"/>
      <c r="AA14" s="70"/>
      <c r="AB14" s="66">
        <v>23</v>
      </c>
      <c r="AC14" s="70"/>
      <c r="AD14" s="69" t="e">
        <f>((#REF!*(#REF!/(AB14-#REF!))))/(#REF!*#REF!)</f>
        <v>#REF!</v>
      </c>
      <c r="AE14" s="69"/>
    </row>
    <row r="15" spans="10:31" x14ac:dyDescent="0.3">
      <c r="J15" s="68"/>
      <c r="K15" s="68"/>
      <c r="L15" s="68"/>
      <c r="N15" s="68"/>
      <c r="AA15" s="70"/>
      <c r="AC15" s="70"/>
      <c r="AD15" s="69"/>
      <c r="AE15" s="69"/>
    </row>
    <row r="16" spans="10:31" x14ac:dyDescent="0.3">
      <c r="J16" s="68"/>
      <c r="K16" s="68"/>
      <c r="L16" s="68"/>
      <c r="N16" s="68"/>
      <c r="AA16" s="70"/>
      <c r="AC16" s="70"/>
      <c r="AD16" s="69"/>
      <c r="AE16" s="69"/>
    </row>
    <row r="17" spans="2:39" x14ac:dyDescent="0.3">
      <c r="J17" s="68"/>
      <c r="K17" s="68"/>
      <c r="L17" s="68"/>
      <c r="N17" s="68"/>
      <c r="AA17" s="70"/>
      <c r="AC17" s="70"/>
      <c r="AD17" s="69"/>
      <c r="AE17" s="69"/>
    </row>
    <row r="18" spans="2:39" x14ac:dyDescent="0.3">
      <c r="J18" s="68"/>
      <c r="K18" s="68"/>
      <c r="L18" s="68"/>
      <c r="N18" s="68"/>
      <c r="AA18" s="70"/>
      <c r="AC18" s="70"/>
      <c r="AD18" s="69"/>
      <c r="AE18" s="69"/>
    </row>
    <row r="19" spans="2:39" x14ac:dyDescent="0.3">
      <c r="J19" s="68"/>
      <c r="K19" s="68"/>
      <c r="L19" s="68"/>
      <c r="N19" s="68"/>
      <c r="AA19" s="70"/>
      <c r="AC19" s="70"/>
      <c r="AD19" s="69"/>
      <c r="AE19" s="69"/>
    </row>
    <row r="20" spans="2:39" x14ac:dyDescent="0.3">
      <c r="J20" s="68"/>
      <c r="K20" s="68"/>
      <c r="L20" s="68"/>
      <c r="N20" s="68"/>
      <c r="AA20" s="70"/>
      <c r="AC20" s="70"/>
      <c r="AD20" s="69"/>
      <c r="AE20" s="69"/>
    </row>
    <row r="21" spans="2:39" x14ac:dyDescent="0.3">
      <c r="J21" s="68"/>
      <c r="K21" s="68"/>
      <c r="L21" s="68"/>
      <c r="N21" s="68"/>
      <c r="AA21" s="70"/>
      <c r="AC21" s="70"/>
      <c r="AD21" s="69"/>
      <c r="AE21" s="69"/>
    </row>
    <row r="22" spans="2:39" x14ac:dyDescent="0.3">
      <c r="J22" s="68"/>
      <c r="K22" s="68"/>
      <c r="L22" s="68"/>
      <c r="N22" s="68"/>
      <c r="AA22" s="70"/>
      <c r="AC22" s="70"/>
      <c r="AD22" s="69"/>
      <c r="AE22" s="69"/>
    </row>
    <row r="23" spans="2:39" x14ac:dyDescent="0.3">
      <c r="L23" s="68"/>
    </row>
    <row r="24" spans="2:39" ht="29.4" thickBot="1" x14ac:dyDescent="0.35">
      <c r="P24" s="68"/>
      <c r="AA24" s="218" t="s">
        <v>118</v>
      </c>
      <c r="AB24" s="219"/>
      <c r="AC24" s="71" t="s">
        <v>114</v>
      </c>
      <c r="AG24" s="71" t="s">
        <v>117</v>
      </c>
      <c r="AH24" s="71"/>
    </row>
    <row r="25" spans="2:39" ht="55.5" customHeight="1" thickBot="1" x14ac:dyDescent="0.35">
      <c r="B25" s="72" t="s">
        <v>27</v>
      </c>
      <c r="C25" s="73" t="s">
        <v>28</v>
      </c>
      <c r="D25" s="73" t="s">
        <v>30</v>
      </c>
      <c r="E25" s="73" t="s">
        <v>31</v>
      </c>
      <c r="F25" s="73" t="s">
        <v>159</v>
      </c>
      <c r="G25" s="73" t="s">
        <v>160</v>
      </c>
      <c r="H25" s="73" t="s">
        <v>161</v>
      </c>
      <c r="I25" s="74" t="s">
        <v>32</v>
      </c>
      <c r="J25" s="74" t="s">
        <v>0</v>
      </c>
      <c r="K25" s="74" t="s">
        <v>1</v>
      </c>
      <c r="L25" s="74" t="s">
        <v>16</v>
      </c>
      <c r="M25" s="74" t="s">
        <v>33</v>
      </c>
      <c r="N25" s="74" t="s">
        <v>34</v>
      </c>
      <c r="O25" s="73" t="s">
        <v>35</v>
      </c>
      <c r="P25" s="73" t="s">
        <v>106</v>
      </c>
      <c r="Q25" s="73" t="s">
        <v>107</v>
      </c>
      <c r="R25" s="73" t="s">
        <v>108</v>
      </c>
      <c r="S25" s="73" t="s">
        <v>109</v>
      </c>
      <c r="T25" s="73" t="s">
        <v>110</v>
      </c>
      <c r="U25" s="73" t="s">
        <v>111</v>
      </c>
      <c r="V25" s="73" t="s">
        <v>167</v>
      </c>
      <c r="W25" s="73" t="s">
        <v>121</v>
      </c>
      <c r="X25" s="75" t="s">
        <v>165</v>
      </c>
      <c r="Y25" s="75" t="s">
        <v>166</v>
      </c>
      <c r="Z25" s="76" t="s">
        <v>113</v>
      </c>
      <c r="AA25" s="73" t="s">
        <v>37</v>
      </c>
      <c r="AB25" s="73" t="s">
        <v>36</v>
      </c>
      <c r="AC25" s="77" t="s">
        <v>112</v>
      </c>
      <c r="AD25" s="73" t="s">
        <v>145</v>
      </c>
      <c r="AE25" s="73" t="s">
        <v>115</v>
      </c>
      <c r="AF25" s="75" t="s">
        <v>116</v>
      </c>
      <c r="AG25" s="78" t="s">
        <v>67</v>
      </c>
      <c r="AH25" s="79" t="s">
        <v>151</v>
      </c>
      <c r="AI25" s="80" t="s">
        <v>119</v>
      </c>
      <c r="AJ25" s="81" t="s">
        <v>38</v>
      </c>
      <c r="AK25" s="82" t="s">
        <v>39</v>
      </c>
      <c r="AL25" s="82" t="s">
        <v>40</v>
      </c>
      <c r="AM25" s="82" t="s">
        <v>41</v>
      </c>
    </row>
    <row r="26" spans="2:39" x14ac:dyDescent="0.3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5"/>
      <c r="Q26" s="85"/>
      <c r="R26" s="85"/>
      <c r="S26" s="86">
        <f t="shared" ref="S26:S40" si="0">(P26+4*Q26+R26)/6</f>
        <v>0</v>
      </c>
      <c r="T26" s="86">
        <f t="shared" ref="T26:T40" si="1">(P26+Q26+R26)/3</f>
        <v>0</v>
      </c>
      <c r="U26" s="86">
        <f t="shared" ref="U26:U40" si="2">(0.185*P26+0.63*Q26+0.185*R26)</f>
        <v>0</v>
      </c>
      <c r="V26" s="87"/>
      <c r="W26" s="86"/>
      <c r="X26" s="87"/>
      <c r="Y26" s="88">
        <f>'Expected Impact'!K6</f>
        <v>0</v>
      </c>
      <c r="Z26" s="89">
        <f>Y26*V26</f>
        <v>0</v>
      </c>
      <c r="AA26" s="90">
        <v>0</v>
      </c>
      <c r="AB26" s="87">
        <v>0</v>
      </c>
      <c r="AC26" s="89">
        <f t="shared" ref="AC26:AC39" si="3">Y26*(1-AB26)*V26*(1-AA26)</f>
        <v>0</v>
      </c>
      <c r="AD26" s="91"/>
      <c r="AE26" s="92"/>
      <c r="AF26" s="92"/>
      <c r="AG26" s="93">
        <f t="shared" ref="AG26:AG39" si="4">AC26-AE26-AF26</f>
        <v>0</v>
      </c>
      <c r="AH26" s="94">
        <f t="shared" ref="AH26:AH38" si="5">AD26+AE26</f>
        <v>0</v>
      </c>
      <c r="AI26" s="95">
        <f t="shared" ref="AI26:AI39" si="6">AD26+AE26+AF26</f>
        <v>0</v>
      </c>
      <c r="AJ26" s="96"/>
      <c r="AK26" s="91"/>
      <c r="AL26" s="91"/>
      <c r="AM26" s="91"/>
    </row>
    <row r="27" spans="2:39" x14ac:dyDescent="0.3">
      <c r="B27" s="97">
        <v>1</v>
      </c>
      <c r="C27" s="98" t="s">
        <v>79</v>
      </c>
      <c r="D27" s="98" t="s">
        <v>42</v>
      </c>
      <c r="E27" s="98" t="s">
        <v>42</v>
      </c>
      <c r="F27" s="98" t="s">
        <v>43</v>
      </c>
      <c r="G27" s="99" t="s">
        <v>44</v>
      </c>
      <c r="H27" s="99" t="s">
        <v>163</v>
      </c>
      <c r="I27" s="98"/>
      <c r="J27" s="98" t="s">
        <v>12</v>
      </c>
      <c r="K27" s="98" t="s">
        <v>26</v>
      </c>
      <c r="L27" s="100"/>
      <c r="M27" s="101"/>
      <c r="N27" s="102" t="s">
        <v>11</v>
      </c>
      <c r="O27" s="101" t="s">
        <v>45</v>
      </c>
      <c r="P27" s="85"/>
      <c r="Q27" s="85"/>
      <c r="R27" s="85"/>
      <c r="S27" s="86">
        <f t="shared" si="0"/>
        <v>0</v>
      </c>
      <c r="T27" s="86">
        <f t="shared" si="1"/>
        <v>0</v>
      </c>
      <c r="U27" s="86">
        <f t="shared" si="2"/>
        <v>0</v>
      </c>
      <c r="V27" s="87"/>
      <c r="W27" s="86"/>
      <c r="X27" s="87"/>
      <c r="Y27" s="88">
        <f>'Expected Impact'!K7</f>
        <v>0</v>
      </c>
      <c r="Z27" s="89">
        <f t="shared" ref="Z27:Z40" si="7">Y27*V27</f>
        <v>0</v>
      </c>
      <c r="AA27" s="90">
        <v>0</v>
      </c>
      <c r="AB27" s="87">
        <v>0</v>
      </c>
      <c r="AC27" s="89">
        <f t="shared" si="3"/>
        <v>0</v>
      </c>
      <c r="AD27" s="103"/>
      <c r="AE27" s="104"/>
      <c r="AF27" s="104"/>
      <c r="AG27" s="93">
        <f t="shared" si="4"/>
        <v>0</v>
      </c>
      <c r="AH27" s="94">
        <f t="shared" si="5"/>
        <v>0</v>
      </c>
      <c r="AI27" s="95">
        <f t="shared" si="6"/>
        <v>0</v>
      </c>
      <c r="AJ27" s="96"/>
      <c r="AK27" s="91"/>
      <c r="AL27" s="91"/>
      <c r="AM27" s="91" t="s">
        <v>46</v>
      </c>
    </row>
    <row r="28" spans="2:39" x14ac:dyDescent="0.3">
      <c r="B28" s="105"/>
      <c r="C28" s="106"/>
      <c r="D28" s="106"/>
      <c r="E28" s="106"/>
      <c r="F28" s="106"/>
      <c r="G28" s="99" t="s">
        <v>47</v>
      </c>
      <c r="H28" s="99" t="s">
        <v>48</v>
      </c>
      <c r="I28" s="106"/>
      <c r="J28" s="106"/>
      <c r="K28" s="106"/>
      <c r="L28" s="100"/>
      <c r="M28" s="101"/>
      <c r="N28" s="102" t="s">
        <v>8</v>
      </c>
      <c r="O28" s="101" t="s">
        <v>49</v>
      </c>
      <c r="P28" s="85"/>
      <c r="Q28" s="85"/>
      <c r="R28" s="85"/>
      <c r="S28" s="86">
        <f t="shared" si="0"/>
        <v>0</v>
      </c>
      <c r="T28" s="86">
        <f t="shared" si="1"/>
        <v>0</v>
      </c>
      <c r="U28" s="86">
        <f t="shared" si="2"/>
        <v>0</v>
      </c>
      <c r="V28" s="87"/>
      <c r="W28" s="86"/>
      <c r="X28" s="87"/>
      <c r="Y28" s="88">
        <f>'Expected Impact'!K8</f>
        <v>0</v>
      </c>
      <c r="Z28" s="89">
        <f t="shared" si="7"/>
        <v>0</v>
      </c>
      <c r="AA28" s="90">
        <v>0</v>
      </c>
      <c r="AB28" s="87">
        <v>0</v>
      </c>
      <c r="AC28" s="89">
        <f t="shared" si="3"/>
        <v>0</v>
      </c>
      <c r="AD28" s="103"/>
      <c r="AE28" s="104"/>
      <c r="AF28" s="104"/>
      <c r="AG28" s="93">
        <f t="shared" si="4"/>
        <v>0</v>
      </c>
      <c r="AH28" s="94">
        <f t="shared" si="5"/>
        <v>0</v>
      </c>
      <c r="AI28" s="95">
        <f t="shared" si="6"/>
        <v>0</v>
      </c>
      <c r="AJ28" s="96"/>
      <c r="AK28" s="91"/>
      <c r="AL28" s="91"/>
      <c r="AM28" s="91"/>
    </row>
    <row r="29" spans="2:39" x14ac:dyDescent="0.3">
      <c r="B29" s="105"/>
      <c r="C29" s="106"/>
      <c r="D29" s="106"/>
      <c r="E29" s="106"/>
      <c r="F29" s="106"/>
      <c r="G29" s="99" t="s">
        <v>50</v>
      </c>
      <c r="H29" s="99" t="s">
        <v>51</v>
      </c>
      <c r="I29" s="106"/>
      <c r="J29" s="106"/>
      <c r="K29" s="106"/>
      <c r="L29" s="100"/>
      <c r="M29" s="101"/>
      <c r="N29" s="102" t="s">
        <v>11</v>
      </c>
      <c r="O29" s="101" t="s">
        <v>52</v>
      </c>
      <c r="P29" s="85"/>
      <c r="Q29" s="85"/>
      <c r="R29" s="85"/>
      <c r="S29" s="86">
        <f t="shared" si="0"/>
        <v>0</v>
      </c>
      <c r="T29" s="86">
        <f t="shared" si="1"/>
        <v>0</v>
      </c>
      <c r="U29" s="86">
        <f t="shared" si="2"/>
        <v>0</v>
      </c>
      <c r="V29" s="87"/>
      <c r="W29" s="86"/>
      <c r="X29" s="87"/>
      <c r="Y29" s="88">
        <f>'Expected Impact'!K9</f>
        <v>0</v>
      </c>
      <c r="Z29" s="89">
        <f t="shared" si="7"/>
        <v>0</v>
      </c>
      <c r="AA29" s="90">
        <v>0</v>
      </c>
      <c r="AB29" s="87">
        <v>0</v>
      </c>
      <c r="AC29" s="89">
        <f t="shared" si="3"/>
        <v>0</v>
      </c>
      <c r="AD29" s="103"/>
      <c r="AE29" s="104"/>
      <c r="AF29" s="104"/>
      <c r="AG29" s="93">
        <f t="shared" si="4"/>
        <v>0</v>
      </c>
      <c r="AH29" s="94">
        <f t="shared" si="5"/>
        <v>0</v>
      </c>
      <c r="AI29" s="95">
        <f t="shared" si="6"/>
        <v>0</v>
      </c>
      <c r="AJ29" s="96"/>
      <c r="AK29" s="91"/>
      <c r="AL29" s="91"/>
      <c r="AM29" s="91"/>
    </row>
    <row r="30" spans="2:39" x14ac:dyDescent="0.3">
      <c r="B30" s="105"/>
      <c r="C30" s="106"/>
      <c r="D30" s="106"/>
      <c r="E30" s="106"/>
      <c r="F30" s="106"/>
      <c r="G30" s="99" t="s">
        <v>53</v>
      </c>
      <c r="H30" s="99" t="s">
        <v>54</v>
      </c>
      <c r="I30" s="106"/>
      <c r="J30" s="106"/>
      <c r="K30" s="106"/>
      <c r="L30" s="100"/>
      <c r="M30" s="101"/>
      <c r="N30" s="102" t="s">
        <v>11</v>
      </c>
      <c r="O30" s="101" t="s">
        <v>55</v>
      </c>
      <c r="P30" s="85"/>
      <c r="Q30" s="85"/>
      <c r="R30" s="85"/>
      <c r="S30" s="86">
        <f t="shared" si="0"/>
        <v>0</v>
      </c>
      <c r="T30" s="86">
        <f t="shared" si="1"/>
        <v>0</v>
      </c>
      <c r="U30" s="86">
        <f t="shared" si="2"/>
        <v>0</v>
      </c>
      <c r="V30" s="87"/>
      <c r="W30" s="86"/>
      <c r="X30" s="87"/>
      <c r="Y30" s="88">
        <f>'Expected Impact'!K10</f>
        <v>0</v>
      </c>
      <c r="Z30" s="89">
        <f t="shared" si="7"/>
        <v>0</v>
      </c>
      <c r="AA30" s="90">
        <v>0</v>
      </c>
      <c r="AB30" s="87">
        <v>0</v>
      </c>
      <c r="AC30" s="89">
        <f t="shared" si="3"/>
        <v>0</v>
      </c>
      <c r="AD30" s="103"/>
      <c r="AE30" s="104"/>
      <c r="AF30" s="104"/>
      <c r="AG30" s="93">
        <f t="shared" si="4"/>
        <v>0</v>
      </c>
      <c r="AH30" s="94">
        <f t="shared" si="5"/>
        <v>0</v>
      </c>
      <c r="AI30" s="95">
        <f t="shared" si="6"/>
        <v>0</v>
      </c>
      <c r="AJ30" s="96"/>
      <c r="AK30" s="91"/>
      <c r="AL30" s="91"/>
      <c r="AM30" s="91"/>
    </row>
    <row r="31" spans="2:39" x14ac:dyDescent="0.3">
      <c r="B31" s="105"/>
      <c r="C31" s="106"/>
      <c r="D31" s="106"/>
      <c r="E31" s="106"/>
      <c r="F31" s="106"/>
      <c r="G31" s="106"/>
      <c r="H31" s="99" t="s">
        <v>56</v>
      </c>
      <c r="I31" s="106"/>
      <c r="J31" s="106"/>
      <c r="K31" s="106"/>
      <c r="L31" s="100"/>
      <c r="M31" s="101"/>
      <c r="N31" s="102" t="s">
        <v>11</v>
      </c>
      <c r="O31" s="101" t="s">
        <v>57</v>
      </c>
      <c r="P31" s="85"/>
      <c r="Q31" s="85"/>
      <c r="R31" s="85"/>
      <c r="S31" s="86">
        <f t="shared" si="0"/>
        <v>0</v>
      </c>
      <c r="T31" s="86">
        <f t="shared" si="1"/>
        <v>0</v>
      </c>
      <c r="U31" s="86">
        <f t="shared" si="2"/>
        <v>0</v>
      </c>
      <c r="V31" s="87"/>
      <c r="W31" s="86"/>
      <c r="X31" s="87"/>
      <c r="Y31" s="88">
        <f>'Expected Impact'!K11</f>
        <v>0</v>
      </c>
      <c r="Z31" s="89">
        <f t="shared" si="7"/>
        <v>0</v>
      </c>
      <c r="AA31" s="90">
        <v>0</v>
      </c>
      <c r="AB31" s="87">
        <v>0</v>
      </c>
      <c r="AC31" s="89">
        <f t="shared" si="3"/>
        <v>0</v>
      </c>
      <c r="AD31" s="103"/>
      <c r="AE31" s="104"/>
      <c r="AF31" s="104"/>
      <c r="AG31" s="93">
        <f t="shared" si="4"/>
        <v>0</v>
      </c>
      <c r="AH31" s="94">
        <f t="shared" si="5"/>
        <v>0</v>
      </c>
      <c r="AI31" s="95">
        <f t="shared" si="6"/>
        <v>0</v>
      </c>
      <c r="AJ31" s="96"/>
      <c r="AK31" s="91"/>
      <c r="AL31" s="91"/>
      <c r="AM31" s="91"/>
    </row>
    <row r="32" spans="2:39" x14ac:dyDescent="0.3">
      <c r="B32" s="105"/>
      <c r="C32" s="106"/>
      <c r="D32" s="106"/>
      <c r="E32" s="106"/>
      <c r="F32" s="106"/>
      <c r="G32" s="106"/>
      <c r="H32" s="99" t="s">
        <v>58</v>
      </c>
      <c r="I32" s="106"/>
      <c r="J32" s="106"/>
      <c r="K32" s="106"/>
      <c r="L32" s="100"/>
      <c r="M32" s="101"/>
      <c r="N32" s="102" t="s">
        <v>11</v>
      </c>
      <c r="O32" s="101" t="s">
        <v>59</v>
      </c>
      <c r="P32" s="85"/>
      <c r="Q32" s="85"/>
      <c r="R32" s="85"/>
      <c r="S32" s="86">
        <f t="shared" si="0"/>
        <v>0</v>
      </c>
      <c r="T32" s="86">
        <f t="shared" si="1"/>
        <v>0</v>
      </c>
      <c r="U32" s="86">
        <f t="shared" si="2"/>
        <v>0</v>
      </c>
      <c r="V32" s="87"/>
      <c r="W32" s="86"/>
      <c r="X32" s="87"/>
      <c r="Y32" s="88">
        <f>'Expected Impact'!K12</f>
        <v>0</v>
      </c>
      <c r="Z32" s="89">
        <f t="shared" si="7"/>
        <v>0</v>
      </c>
      <c r="AA32" s="90">
        <v>0</v>
      </c>
      <c r="AB32" s="87">
        <v>0</v>
      </c>
      <c r="AC32" s="89">
        <f t="shared" si="3"/>
        <v>0</v>
      </c>
      <c r="AD32" s="103"/>
      <c r="AE32" s="104"/>
      <c r="AF32" s="104"/>
      <c r="AG32" s="93">
        <f t="shared" si="4"/>
        <v>0</v>
      </c>
      <c r="AH32" s="94">
        <f t="shared" si="5"/>
        <v>0</v>
      </c>
      <c r="AI32" s="95">
        <f t="shared" si="6"/>
        <v>0</v>
      </c>
      <c r="AJ32" s="96"/>
      <c r="AK32" s="91"/>
      <c r="AL32" s="91"/>
      <c r="AM32" s="91"/>
    </row>
    <row r="33" spans="2:41" x14ac:dyDescent="0.3">
      <c r="B33" s="105"/>
      <c r="C33" s="106"/>
      <c r="D33" s="106"/>
      <c r="E33" s="106"/>
      <c r="F33" s="106"/>
      <c r="G33" s="106"/>
      <c r="H33" s="106"/>
      <c r="I33" s="106"/>
      <c r="J33" s="106"/>
      <c r="K33" s="106"/>
      <c r="L33" s="100"/>
      <c r="M33" s="101"/>
      <c r="N33" s="107" t="s">
        <v>11</v>
      </c>
      <c r="O33" s="108" t="s">
        <v>60</v>
      </c>
      <c r="P33" s="85"/>
      <c r="Q33" s="85"/>
      <c r="R33" s="85"/>
      <c r="S33" s="86">
        <f t="shared" si="0"/>
        <v>0</v>
      </c>
      <c r="T33" s="86">
        <f t="shared" si="1"/>
        <v>0</v>
      </c>
      <c r="U33" s="86">
        <f t="shared" si="2"/>
        <v>0</v>
      </c>
      <c r="V33" s="87"/>
      <c r="W33" s="86"/>
      <c r="X33" s="87"/>
      <c r="Y33" s="88">
        <f>'Expected Impact'!K13</f>
        <v>0</v>
      </c>
      <c r="Z33" s="89">
        <f t="shared" si="7"/>
        <v>0</v>
      </c>
      <c r="AA33" s="90">
        <v>0</v>
      </c>
      <c r="AB33" s="87">
        <v>0</v>
      </c>
      <c r="AC33" s="89">
        <f t="shared" si="3"/>
        <v>0</v>
      </c>
      <c r="AD33" s="103"/>
      <c r="AE33" s="104"/>
      <c r="AF33" s="104"/>
      <c r="AG33" s="93">
        <f t="shared" si="4"/>
        <v>0</v>
      </c>
      <c r="AH33" s="94">
        <f t="shared" si="5"/>
        <v>0</v>
      </c>
      <c r="AI33" s="95">
        <f t="shared" si="6"/>
        <v>0</v>
      </c>
      <c r="AJ33" s="96"/>
      <c r="AK33" s="91"/>
      <c r="AL33" s="91"/>
      <c r="AM33" s="91"/>
    </row>
    <row r="34" spans="2:41" x14ac:dyDescent="0.3">
      <c r="B34" s="105"/>
      <c r="C34" s="106"/>
      <c r="D34" s="106"/>
      <c r="E34" s="106"/>
      <c r="F34" s="106"/>
      <c r="G34" s="106"/>
      <c r="H34" s="106"/>
      <c r="I34" s="106"/>
      <c r="J34" s="106"/>
      <c r="K34" s="106"/>
      <c r="L34" s="100"/>
      <c r="M34" s="101"/>
      <c r="N34" s="107" t="s">
        <v>11</v>
      </c>
      <c r="O34" s="108" t="s">
        <v>61</v>
      </c>
      <c r="P34" s="85"/>
      <c r="Q34" s="85"/>
      <c r="R34" s="85"/>
      <c r="S34" s="109">
        <f t="shared" si="0"/>
        <v>0</v>
      </c>
      <c r="T34" s="109">
        <f t="shared" si="1"/>
        <v>0</v>
      </c>
      <c r="U34" s="109">
        <f t="shared" si="2"/>
        <v>0</v>
      </c>
      <c r="V34" s="87"/>
      <c r="W34" s="86"/>
      <c r="X34" s="87"/>
      <c r="Y34" s="88">
        <f>'Expected Impact'!K14</f>
        <v>0</v>
      </c>
      <c r="Z34" s="89">
        <f t="shared" si="7"/>
        <v>0</v>
      </c>
      <c r="AA34" s="90">
        <v>0</v>
      </c>
      <c r="AB34" s="87">
        <v>0</v>
      </c>
      <c r="AC34" s="89">
        <f t="shared" si="3"/>
        <v>0</v>
      </c>
      <c r="AD34" s="103"/>
      <c r="AE34" s="104"/>
      <c r="AF34" s="104"/>
      <c r="AG34" s="93">
        <f t="shared" si="4"/>
        <v>0</v>
      </c>
      <c r="AH34" s="94">
        <f t="shared" si="5"/>
        <v>0</v>
      </c>
      <c r="AI34" s="95">
        <f t="shared" si="6"/>
        <v>0</v>
      </c>
      <c r="AJ34" s="96"/>
      <c r="AK34" s="91"/>
      <c r="AL34" s="91"/>
      <c r="AM34" s="91"/>
    </row>
    <row r="35" spans="2:41" x14ac:dyDescent="0.3">
      <c r="B35" s="105"/>
      <c r="C35" s="106"/>
      <c r="D35" s="106"/>
      <c r="E35" s="106"/>
      <c r="F35" s="106"/>
      <c r="G35" s="106"/>
      <c r="H35" s="106"/>
      <c r="I35" s="106"/>
      <c r="J35" s="106"/>
      <c r="K35" s="106"/>
      <c r="L35" s="100"/>
      <c r="M35" s="101"/>
      <c r="N35" s="107" t="s">
        <v>11</v>
      </c>
      <c r="O35" s="108" t="s">
        <v>62</v>
      </c>
      <c r="P35" s="85"/>
      <c r="Q35" s="85"/>
      <c r="R35" s="85"/>
      <c r="S35" s="109">
        <f t="shared" si="0"/>
        <v>0</v>
      </c>
      <c r="T35" s="109">
        <f t="shared" si="1"/>
        <v>0</v>
      </c>
      <c r="U35" s="109">
        <f t="shared" si="2"/>
        <v>0</v>
      </c>
      <c r="V35" s="87"/>
      <c r="W35" s="86"/>
      <c r="X35" s="87"/>
      <c r="Y35" s="88">
        <f>'Expected Impact'!K15</f>
        <v>0</v>
      </c>
      <c r="Z35" s="89">
        <f t="shared" si="7"/>
        <v>0</v>
      </c>
      <c r="AA35" s="90">
        <v>0</v>
      </c>
      <c r="AB35" s="87">
        <v>0</v>
      </c>
      <c r="AC35" s="89">
        <f t="shared" si="3"/>
        <v>0</v>
      </c>
      <c r="AD35" s="103"/>
      <c r="AE35" s="104"/>
      <c r="AF35" s="104"/>
      <c r="AG35" s="93">
        <f t="shared" si="4"/>
        <v>0</v>
      </c>
      <c r="AH35" s="94">
        <f t="shared" si="5"/>
        <v>0</v>
      </c>
      <c r="AI35" s="95">
        <f t="shared" si="6"/>
        <v>0</v>
      </c>
      <c r="AJ35" s="96"/>
      <c r="AK35" s="91"/>
      <c r="AL35" s="91"/>
      <c r="AM35" s="91"/>
    </row>
    <row r="36" spans="2:41" x14ac:dyDescent="0.3">
      <c r="B36" s="105"/>
      <c r="C36" s="106"/>
      <c r="D36" s="106"/>
      <c r="E36" s="106"/>
      <c r="F36" s="106"/>
      <c r="G36" s="106"/>
      <c r="H36" s="106"/>
      <c r="I36" s="106"/>
      <c r="J36" s="106"/>
      <c r="K36" s="106"/>
      <c r="L36" s="100"/>
      <c r="M36" s="101"/>
      <c r="N36" s="107" t="s">
        <v>11</v>
      </c>
      <c r="O36" s="108" t="s">
        <v>63</v>
      </c>
      <c r="P36" s="85"/>
      <c r="Q36" s="85"/>
      <c r="R36" s="85"/>
      <c r="S36" s="109">
        <f t="shared" si="0"/>
        <v>0</v>
      </c>
      <c r="T36" s="109">
        <f t="shared" si="1"/>
        <v>0</v>
      </c>
      <c r="U36" s="109">
        <f t="shared" si="2"/>
        <v>0</v>
      </c>
      <c r="V36" s="87"/>
      <c r="W36" s="86"/>
      <c r="X36" s="87"/>
      <c r="Y36" s="88">
        <f>'Expected Impact'!K16</f>
        <v>0</v>
      </c>
      <c r="Z36" s="89">
        <f t="shared" si="7"/>
        <v>0</v>
      </c>
      <c r="AA36" s="90">
        <v>0</v>
      </c>
      <c r="AB36" s="87">
        <v>0</v>
      </c>
      <c r="AC36" s="89">
        <f t="shared" si="3"/>
        <v>0</v>
      </c>
      <c r="AD36" s="103"/>
      <c r="AE36" s="104"/>
      <c r="AF36" s="104"/>
      <c r="AG36" s="93">
        <f t="shared" si="4"/>
        <v>0</v>
      </c>
      <c r="AH36" s="94">
        <f t="shared" si="5"/>
        <v>0</v>
      </c>
      <c r="AI36" s="95">
        <f t="shared" si="6"/>
        <v>0</v>
      </c>
      <c r="AJ36" s="96"/>
      <c r="AK36" s="91"/>
      <c r="AL36" s="91"/>
      <c r="AM36" s="91"/>
    </row>
    <row r="37" spans="2:41" x14ac:dyDescent="0.3">
      <c r="B37" s="105"/>
      <c r="C37" s="106"/>
      <c r="D37" s="106"/>
      <c r="E37" s="106"/>
      <c r="F37" s="106"/>
      <c r="G37" s="106"/>
      <c r="H37" s="106"/>
      <c r="I37" s="106"/>
      <c r="J37" s="106"/>
      <c r="K37" s="106"/>
      <c r="L37" s="100"/>
      <c r="M37" s="101"/>
      <c r="N37" s="107" t="s">
        <v>11</v>
      </c>
      <c r="O37" s="108" t="s">
        <v>64</v>
      </c>
      <c r="P37" s="85"/>
      <c r="Q37" s="85"/>
      <c r="R37" s="85"/>
      <c r="S37" s="109">
        <f t="shared" si="0"/>
        <v>0</v>
      </c>
      <c r="T37" s="109">
        <f t="shared" si="1"/>
        <v>0</v>
      </c>
      <c r="U37" s="109">
        <f t="shared" si="2"/>
        <v>0</v>
      </c>
      <c r="V37" s="87"/>
      <c r="W37" s="86"/>
      <c r="X37" s="87"/>
      <c r="Y37" s="88">
        <f>'Expected Impact'!K17</f>
        <v>0</v>
      </c>
      <c r="Z37" s="89">
        <f t="shared" si="7"/>
        <v>0</v>
      </c>
      <c r="AA37" s="90">
        <v>0</v>
      </c>
      <c r="AB37" s="87">
        <v>0</v>
      </c>
      <c r="AC37" s="89">
        <f t="shared" si="3"/>
        <v>0</v>
      </c>
      <c r="AD37" s="103"/>
      <c r="AE37" s="104"/>
      <c r="AF37" s="104"/>
      <c r="AG37" s="93">
        <f t="shared" si="4"/>
        <v>0</v>
      </c>
      <c r="AH37" s="94">
        <f t="shared" si="5"/>
        <v>0</v>
      </c>
      <c r="AI37" s="95">
        <f t="shared" si="6"/>
        <v>0</v>
      </c>
      <c r="AJ37" s="96"/>
      <c r="AK37" s="91"/>
      <c r="AL37" s="91"/>
      <c r="AM37" s="91"/>
    </row>
    <row r="38" spans="2:41" x14ac:dyDescent="0.3">
      <c r="B38" s="105"/>
      <c r="C38" s="106"/>
      <c r="D38" s="106"/>
      <c r="E38" s="106"/>
      <c r="F38" s="106"/>
      <c r="G38" s="106"/>
      <c r="H38" s="106"/>
      <c r="I38" s="106"/>
      <c r="J38" s="106"/>
      <c r="K38" s="106"/>
      <c r="L38" s="100"/>
      <c r="M38" s="101"/>
      <c r="N38" s="107" t="s">
        <v>11</v>
      </c>
      <c r="O38" s="108" t="s">
        <v>65</v>
      </c>
      <c r="P38" s="85">
        <v>62000</v>
      </c>
      <c r="Q38" s="85">
        <v>86000</v>
      </c>
      <c r="R38" s="85">
        <v>136000</v>
      </c>
      <c r="S38" s="109">
        <f t="shared" si="0"/>
        <v>90333.333333333328</v>
      </c>
      <c r="T38" s="109">
        <f t="shared" si="1"/>
        <v>94666.666666666672</v>
      </c>
      <c r="U38" s="109">
        <f t="shared" si="2"/>
        <v>90810</v>
      </c>
      <c r="V38" s="87">
        <v>0.4</v>
      </c>
      <c r="W38" s="86">
        <v>90333.333333333328</v>
      </c>
      <c r="X38" s="87">
        <v>0.75</v>
      </c>
      <c r="Y38" s="88">
        <f>'Expected Impact'!K18</f>
        <v>98652.040252418345</v>
      </c>
      <c r="Z38" s="89">
        <f t="shared" si="7"/>
        <v>39460.816100967342</v>
      </c>
      <c r="AA38" s="90">
        <v>0.5</v>
      </c>
      <c r="AB38" s="87">
        <v>0.5</v>
      </c>
      <c r="AC38" s="89">
        <f t="shared" si="3"/>
        <v>9865.2040252418356</v>
      </c>
      <c r="AD38" s="103"/>
      <c r="AE38" s="104">
        <v>7000</v>
      </c>
      <c r="AF38" s="104">
        <v>1000</v>
      </c>
      <c r="AG38" s="93">
        <f t="shared" si="4"/>
        <v>1865.2040252418356</v>
      </c>
      <c r="AH38" s="94">
        <f t="shared" si="5"/>
        <v>7000</v>
      </c>
      <c r="AI38" s="95">
        <f t="shared" si="6"/>
        <v>8000</v>
      </c>
      <c r="AJ38" s="96"/>
      <c r="AK38" s="91"/>
      <c r="AL38" s="91"/>
      <c r="AM38" s="91"/>
    </row>
    <row r="39" spans="2:41" x14ac:dyDescent="0.3">
      <c r="B39" s="105"/>
      <c r="C39" s="106"/>
      <c r="D39" s="106"/>
      <c r="E39" s="106"/>
      <c r="F39" s="106"/>
      <c r="G39" s="106"/>
      <c r="H39" s="106"/>
      <c r="I39" s="106"/>
      <c r="J39" s="106"/>
      <c r="K39" s="106"/>
      <c r="L39" s="100"/>
      <c r="M39" s="101"/>
      <c r="N39" s="107" t="s">
        <v>14</v>
      </c>
      <c r="O39" s="108" t="s">
        <v>66</v>
      </c>
      <c r="P39" s="85">
        <v>62000</v>
      </c>
      <c r="Q39" s="85">
        <v>86000</v>
      </c>
      <c r="R39" s="85">
        <v>136000</v>
      </c>
      <c r="S39" s="109">
        <f t="shared" si="0"/>
        <v>90333.333333333328</v>
      </c>
      <c r="T39" s="109">
        <f t="shared" si="1"/>
        <v>94666.666666666672</v>
      </c>
      <c r="U39" s="109">
        <f t="shared" si="2"/>
        <v>90810</v>
      </c>
      <c r="V39" s="87">
        <v>0.4</v>
      </c>
      <c r="W39" s="86">
        <v>94666.666666666672</v>
      </c>
      <c r="X39" s="87">
        <v>0.75</v>
      </c>
      <c r="Y39" s="88">
        <f>'Expected Impact'!K19</f>
        <v>105062.46748895195</v>
      </c>
      <c r="Z39" s="89">
        <f t="shared" si="7"/>
        <v>42024.986995580781</v>
      </c>
      <c r="AA39" s="90">
        <v>0.5</v>
      </c>
      <c r="AB39" s="87">
        <v>0.6</v>
      </c>
      <c r="AC39" s="89">
        <f t="shared" si="3"/>
        <v>8404.9973991161569</v>
      </c>
      <c r="AD39" s="103">
        <v>10000</v>
      </c>
      <c r="AE39" s="104">
        <v>2000</v>
      </c>
      <c r="AF39" s="104">
        <v>1000</v>
      </c>
      <c r="AG39" s="93">
        <f t="shared" si="4"/>
        <v>5404.9973991161569</v>
      </c>
      <c r="AH39" s="94">
        <f>AD39+AE39</f>
        <v>12000</v>
      </c>
      <c r="AI39" s="95">
        <f t="shared" si="6"/>
        <v>13000</v>
      </c>
      <c r="AJ39" s="96"/>
      <c r="AK39" s="91"/>
      <c r="AL39" s="91"/>
      <c r="AM39" s="91"/>
    </row>
    <row r="40" spans="2:41" x14ac:dyDescent="0.3">
      <c r="B40" s="110"/>
      <c r="C40" s="111"/>
      <c r="D40" s="111"/>
      <c r="E40" s="111"/>
      <c r="F40" s="111"/>
      <c r="G40" s="111"/>
      <c r="H40" s="111"/>
      <c r="I40" s="111"/>
      <c r="J40" s="111"/>
      <c r="K40" s="111"/>
      <c r="L40" s="100"/>
      <c r="M40" s="112"/>
      <c r="N40" s="111"/>
      <c r="O40" s="111"/>
      <c r="P40" s="85">
        <v>15000</v>
      </c>
      <c r="Q40" s="85">
        <v>25000</v>
      </c>
      <c r="R40" s="85">
        <v>28000</v>
      </c>
      <c r="S40" s="109">
        <f t="shared" si="0"/>
        <v>23833.333333333332</v>
      </c>
      <c r="T40" s="109">
        <f t="shared" si="1"/>
        <v>22666.666666666668</v>
      </c>
      <c r="U40" s="109">
        <f t="shared" si="2"/>
        <v>23705</v>
      </c>
      <c r="V40" s="87">
        <v>0.4</v>
      </c>
      <c r="W40" s="86">
        <v>23833.333333333332</v>
      </c>
      <c r="X40" s="87">
        <v>0.8</v>
      </c>
      <c r="Y40" s="88">
        <f>'Expected Impact'!K20</f>
        <v>25656.846006074647</v>
      </c>
      <c r="Z40" s="89">
        <f t="shared" si="7"/>
        <v>10262.738402429859</v>
      </c>
      <c r="AA40" s="90">
        <v>0.4</v>
      </c>
      <c r="AB40" s="87">
        <v>0.3</v>
      </c>
      <c r="AC40" s="89">
        <f>Y40*(1-AB40)*V40*(1-AA40)</f>
        <v>4310.3501290205404</v>
      </c>
      <c r="AD40" s="103">
        <v>0</v>
      </c>
      <c r="AE40" s="104"/>
      <c r="AF40" s="104">
        <v>4000</v>
      </c>
      <c r="AG40" s="93">
        <f>AC40-AE40-AF40</f>
        <v>310.35012902054041</v>
      </c>
      <c r="AH40" s="94">
        <f>AD40+AE40</f>
        <v>0</v>
      </c>
      <c r="AI40" s="95">
        <f>AD40+AE40+AF40</f>
        <v>4000</v>
      </c>
      <c r="AJ40" s="96"/>
      <c r="AK40" s="91"/>
      <c r="AL40" s="91"/>
      <c r="AM40" s="91"/>
    </row>
    <row r="41" spans="2:41" ht="15" thickBot="1" x14ac:dyDescent="0.35">
      <c r="B41" s="113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5"/>
      <c r="Y41" s="115"/>
      <c r="Z41" s="115"/>
      <c r="AA41" s="116"/>
      <c r="AB41" s="114"/>
      <c r="AC41" s="114"/>
      <c r="AD41" s="114"/>
      <c r="AE41" s="115"/>
      <c r="AF41" s="115"/>
      <c r="AG41" s="113"/>
      <c r="AH41" s="114"/>
      <c r="AI41" s="117"/>
      <c r="AJ41" s="116"/>
      <c r="AK41" s="114"/>
      <c r="AL41" s="114"/>
      <c r="AM41" s="114"/>
    </row>
    <row r="44" spans="2:41" ht="15" thickBot="1" x14ac:dyDescent="0.35"/>
    <row r="45" spans="2:41" ht="55.5" customHeight="1" thickBot="1" x14ac:dyDescent="0.35">
      <c r="I45" s="118"/>
      <c r="J45" s="118"/>
      <c r="K45" s="118"/>
      <c r="L45" s="118"/>
      <c r="M45" s="118"/>
      <c r="N45" s="118"/>
      <c r="Z45" s="119" t="s">
        <v>113</v>
      </c>
      <c r="AC45" s="120" t="s">
        <v>112</v>
      </c>
      <c r="AD45" s="73" t="s">
        <v>145</v>
      </c>
      <c r="AE45" s="73" t="s">
        <v>115</v>
      </c>
      <c r="AF45" s="75" t="s">
        <v>116</v>
      </c>
      <c r="AG45" s="78" t="s">
        <v>67</v>
      </c>
      <c r="AH45" s="79" t="s">
        <v>151</v>
      </c>
      <c r="AI45" s="80" t="s">
        <v>119</v>
      </c>
    </row>
    <row r="46" spans="2:41" ht="15" thickBot="1" x14ac:dyDescent="0.35">
      <c r="M46" s="68"/>
      <c r="N46" s="68"/>
      <c r="Z46" s="121">
        <f>SUM(Z26:Z40)</f>
        <v>91748.541498977982</v>
      </c>
      <c r="AA46" s="122"/>
      <c r="AB46" s="122"/>
      <c r="AC46" s="121">
        <f t="shared" ref="AC46:AI46" si="8">SUM(AC26:AC40)</f>
        <v>22580.551553378529</v>
      </c>
      <c r="AD46" s="123">
        <f t="shared" si="8"/>
        <v>10000</v>
      </c>
      <c r="AE46" s="123">
        <f t="shared" si="8"/>
        <v>9000</v>
      </c>
      <c r="AF46" s="123">
        <f t="shared" si="8"/>
        <v>6000</v>
      </c>
      <c r="AG46" s="123">
        <f t="shared" si="8"/>
        <v>7580.5515533785328</v>
      </c>
      <c r="AH46" s="123">
        <f t="shared" si="8"/>
        <v>19000</v>
      </c>
      <c r="AI46" s="123">
        <f t="shared" si="8"/>
        <v>25000</v>
      </c>
      <c r="AO46" s="124"/>
    </row>
    <row r="47" spans="2:41" x14ac:dyDescent="0.3">
      <c r="J47" s="68"/>
      <c r="M47" s="68"/>
      <c r="N47" s="68"/>
      <c r="P47" s="125"/>
      <c r="AD47" s="126"/>
      <c r="AE47" s="126"/>
      <c r="AI47" s="127"/>
      <c r="AJ47" s="126"/>
      <c r="AK47" s="126"/>
    </row>
    <row r="48" spans="2:41" x14ac:dyDescent="0.3">
      <c r="L48" s="68"/>
      <c r="M48" s="68"/>
      <c r="N48" s="68"/>
    </row>
    <row r="49" spans="8:32" x14ac:dyDescent="0.3">
      <c r="V49" s="128"/>
      <c r="W49" s="129"/>
      <c r="X49" s="129"/>
      <c r="Y49" s="129"/>
      <c r="Z49" s="129"/>
    </row>
    <row r="50" spans="8:32" ht="15" thickBot="1" x14ac:dyDescent="0.35">
      <c r="H50" s="130"/>
    </row>
    <row r="51" spans="8:32" ht="18.75" customHeight="1" x14ac:dyDescent="0.3">
      <c r="H51" s="68"/>
      <c r="N51" s="131" t="s">
        <v>68</v>
      </c>
      <c r="O51" s="132"/>
      <c r="P51" s="132"/>
      <c r="Q51" s="132"/>
      <c r="R51" s="133"/>
    </row>
    <row r="52" spans="8:32" ht="31.5" customHeight="1" x14ac:dyDescent="0.3">
      <c r="H52" s="68"/>
      <c r="N52" s="134"/>
      <c r="P52" s="70" t="s">
        <v>69</v>
      </c>
      <c r="Q52" s="70" t="s">
        <v>70</v>
      </c>
      <c r="R52" s="135"/>
    </row>
    <row r="53" spans="8:32" x14ac:dyDescent="0.3">
      <c r="H53" s="68"/>
      <c r="N53" s="110"/>
      <c r="O53" s="136"/>
      <c r="P53" s="137" t="s">
        <v>71</v>
      </c>
      <c r="Q53" s="137" t="s">
        <v>71</v>
      </c>
      <c r="R53" s="135"/>
      <c r="W53" s="67"/>
      <c r="X53" s="67"/>
      <c r="Y53" s="67"/>
      <c r="Z53" s="67"/>
      <c r="AF53" s="127"/>
    </row>
    <row r="54" spans="8:32" x14ac:dyDescent="0.3">
      <c r="H54" s="68"/>
      <c r="N54" s="138" t="s">
        <v>29</v>
      </c>
      <c r="O54" s="139"/>
      <c r="P54" s="140">
        <v>91999</v>
      </c>
      <c r="Q54" s="140">
        <v>91999</v>
      </c>
      <c r="R54" s="135"/>
      <c r="W54" s="141"/>
      <c r="X54" s="141"/>
      <c r="Y54" s="141"/>
      <c r="Z54" s="141"/>
    </row>
    <row r="55" spans="8:32" x14ac:dyDescent="0.3">
      <c r="H55" s="68"/>
      <c r="N55" s="138" t="s">
        <v>72</v>
      </c>
      <c r="O55" s="111"/>
      <c r="P55" s="140">
        <v>131500</v>
      </c>
      <c r="Q55" s="140">
        <v>131500</v>
      </c>
      <c r="R55" s="135"/>
      <c r="Z55" s="67"/>
    </row>
    <row r="56" spans="8:32" x14ac:dyDescent="0.3">
      <c r="H56" s="68"/>
      <c r="N56" s="138" t="s">
        <v>146</v>
      </c>
      <c r="O56" s="111"/>
      <c r="P56" s="142">
        <f>Z46</f>
        <v>91748.541498977982</v>
      </c>
      <c r="Q56" s="142">
        <f>Z46</f>
        <v>91748.541498977982</v>
      </c>
      <c r="R56" s="135"/>
      <c r="Z56" s="68"/>
    </row>
    <row r="57" spans="8:32" x14ac:dyDescent="0.3">
      <c r="H57" s="68"/>
      <c r="N57" s="143" t="s">
        <v>147</v>
      </c>
      <c r="O57" s="111"/>
      <c r="P57" s="144">
        <f>P56</f>
        <v>91748.541498977982</v>
      </c>
      <c r="Q57" s="144">
        <f>AG46</f>
        <v>7580.5515533785328</v>
      </c>
      <c r="R57" s="135"/>
    </row>
    <row r="58" spans="8:32" x14ac:dyDescent="0.3">
      <c r="H58" s="68"/>
      <c r="N58" s="138" t="s">
        <v>152</v>
      </c>
      <c r="O58" s="111"/>
      <c r="P58" s="142"/>
      <c r="Q58" s="145">
        <f>AH46</f>
        <v>19000</v>
      </c>
      <c r="R58" s="135"/>
      <c r="W58" s="67"/>
      <c r="X58" s="67"/>
      <c r="Y58" s="67"/>
      <c r="Z58" s="146"/>
    </row>
    <row r="59" spans="8:32" x14ac:dyDescent="0.3">
      <c r="H59" s="68"/>
      <c r="N59" s="134"/>
      <c r="R59" s="135"/>
      <c r="W59" s="68"/>
      <c r="X59" s="68"/>
      <c r="Y59" s="68"/>
      <c r="Z59" s="67"/>
    </row>
    <row r="60" spans="8:32" x14ac:dyDescent="0.3">
      <c r="N60" s="138" t="s">
        <v>153</v>
      </c>
      <c r="O60" s="111"/>
      <c r="P60" s="142">
        <f>P55</f>
        <v>131500</v>
      </c>
      <c r="Q60" s="142">
        <f>Q55+Q58</f>
        <v>150500</v>
      </c>
      <c r="R60" s="135"/>
      <c r="W60" s="146"/>
      <c r="X60" s="146"/>
      <c r="Y60" s="146"/>
    </row>
    <row r="61" spans="8:32" x14ac:dyDescent="0.3">
      <c r="N61" s="138" t="s">
        <v>148</v>
      </c>
      <c r="O61" s="111"/>
      <c r="P61" s="147">
        <f>P54+P58</f>
        <v>91999</v>
      </c>
      <c r="Q61" s="147">
        <f>Q54+Q58</f>
        <v>110999</v>
      </c>
      <c r="R61" s="135"/>
      <c r="T61" s="148"/>
      <c r="W61" s="67"/>
      <c r="X61" s="67"/>
      <c r="Y61" s="67"/>
    </row>
    <row r="62" spans="8:32" x14ac:dyDescent="0.3">
      <c r="N62" s="149" t="s">
        <v>100</v>
      </c>
      <c r="P62" s="150">
        <f>(P60-P61)/P60</f>
        <v>0.30038783269961977</v>
      </c>
      <c r="Q62" s="150">
        <f>(Q60-Q61)/Q60</f>
        <v>0.26246511627906977</v>
      </c>
      <c r="R62" s="135"/>
    </row>
    <row r="63" spans="8:32" ht="15" thickBot="1" x14ac:dyDescent="0.35">
      <c r="N63" s="151"/>
      <c r="O63" s="152"/>
      <c r="P63" s="152"/>
      <c r="Q63" s="152"/>
      <c r="R63" s="153"/>
    </row>
    <row r="64" spans="8:32" ht="15" thickBot="1" x14ac:dyDescent="0.35"/>
    <row r="65" spans="14:18" ht="17.25" customHeight="1" x14ac:dyDescent="0.3">
      <c r="N65" s="154" t="s">
        <v>74</v>
      </c>
      <c r="O65" s="132"/>
      <c r="P65" s="132"/>
      <c r="Q65" s="133"/>
    </row>
    <row r="66" spans="14:18" x14ac:dyDescent="0.3">
      <c r="N66" s="110"/>
      <c r="O66" s="111"/>
      <c r="P66" s="137" t="s">
        <v>71</v>
      </c>
      <c r="Q66" s="155" t="s">
        <v>71</v>
      </c>
    </row>
    <row r="67" spans="14:18" x14ac:dyDescent="0.3">
      <c r="N67" s="156" t="str">
        <f>N61</f>
        <v>Cost Baseline (Sol. Cost+Risk Cost)</v>
      </c>
      <c r="O67" s="157"/>
      <c r="P67" s="157">
        <f>P61</f>
        <v>91999</v>
      </c>
      <c r="Q67" s="158">
        <f>Q61</f>
        <v>110999</v>
      </c>
    </row>
    <row r="68" spans="14:18" x14ac:dyDescent="0.3">
      <c r="N68" s="156" t="s">
        <v>75</v>
      </c>
      <c r="O68" s="111"/>
      <c r="P68" s="157">
        <f>P60</f>
        <v>131500</v>
      </c>
      <c r="Q68" s="158">
        <f>Q60</f>
        <v>150500</v>
      </c>
    </row>
    <row r="69" spans="14:18" x14ac:dyDescent="0.3">
      <c r="N69" s="159" t="s">
        <v>155</v>
      </c>
      <c r="O69" s="160">
        <v>0</v>
      </c>
      <c r="Q69" s="135"/>
    </row>
    <row r="70" spans="14:18" x14ac:dyDescent="0.3">
      <c r="N70" s="159" t="s">
        <v>156</v>
      </c>
      <c r="O70" s="160">
        <v>0</v>
      </c>
      <c r="P70" s="127"/>
      <c r="Q70" s="161"/>
    </row>
    <row r="71" spans="14:18" ht="17.25" customHeight="1" thickBot="1" x14ac:dyDescent="0.35">
      <c r="N71" s="162" t="s">
        <v>157</v>
      </c>
      <c r="O71" s="114"/>
      <c r="P71" s="163">
        <f>P68*O69*O70</f>
        <v>0</v>
      </c>
      <c r="Q71" s="164">
        <f>Q68*O69*O70</f>
        <v>0</v>
      </c>
    </row>
    <row r="72" spans="14:18" ht="15" thickBot="1" x14ac:dyDescent="0.35"/>
    <row r="73" spans="14:18" ht="15" thickBot="1" x14ac:dyDescent="0.35">
      <c r="N73" s="165" t="s">
        <v>76</v>
      </c>
      <c r="O73" s="132"/>
      <c r="P73" s="132"/>
      <c r="Q73" s="132"/>
      <c r="R73" s="133"/>
    </row>
    <row r="74" spans="14:18" ht="15.6" thickTop="1" thickBot="1" x14ac:dyDescent="0.35">
      <c r="N74" s="166" t="s">
        <v>154</v>
      </c>
      <c r="P74" s="167">
        <f>P68+P71</f>
        <v>131500</v>
      </c>
      <c r="Q74" s="167">
        <f>Q68+Q71</f>
        <v>150500</v>
      </c>
      <c r="R74" s="135"/>
    </row>
    <row r="75" spans="14:18" ht="15.6" thickTop="1" thickBot="1" x14ac:dyDescent="0.35">
      <c r="N75" s="166" t="s">
        <v>73</v>
      </c>
      <c r="P75" s="167">
        <f>P54+P58</f>
        <v>91999</v>
      </c>
      <c r="Q75" s="167">
        <f>Q54+Q58</f>
        <v>110999</v>
      </c>
      <c r="R75" s="135"/>
    </row>
    <row r="76" spans="14:18" ht="19.5" customHeight="1" thickTop="1" thickBot="1" x14ac:dyDescent="0.35">
      <c r="N76" s="166" t="s">
        <v>7</v>
      </c>
      <c r="P76" s="168">
        <f>P71</f>
        <v>0</v>
      </c>
      <c r="Q76" s="168">
        <f>Q71</f>
        <v>0</v>
      </c>
      <c r="R76" s="135"/>
    </row>
    <row r="77" spans="14:18" ht="15.6" thickTop="1" thickBot="1" x14ac:dyDescent="0.35">
      <c r="N77" s="166" t="s">
        <v>77</v>
      </c>
      <c r="P77" s="167">
        <f>P75+P76</f>
        <v>91999</v>
      </c>
      <c r="Q77" s="167">
        <f>Q75+Q76</f>
        <v>110999</v>
      </c>
      <c r="R77" s="135"/>
    </row>
    <row r="78" spans="14:18" ht="16.8" thickTop="1" thickBot="1" x14ac:dyDescent="0.35">
      <c r="N78" s="169" t="s">
        <v>158</v>
      </c>
      <c r="O78" s="170"/>
      <c r="P78" s="171">
        <f>1-(P77/P74)</f>
        <v>0.30038783269961977</v>
      </c>
      <c r="Q78" s="172">
        <f>1-(Q77/Q74)</f>
        <v>0.26246511627906977</v>
      </c>
      <c r="R78" s="135"/>
    </row>
    <row r="79" spans="14:18" ht="16.8" thickTop="1" thickBot="1" x14ac:dyDescent="0.35">
      <c r="N79" s="169" t="s">
        <v>78</v>
      </c>
      <c r="P79" s="167">
        <f>P74-P77</f>
        <v>39501</v>
      </c>
      <c r="Q79" s="167">
        <f>Q74-Q77</f>
        <v>39501</v>
      </c>
      <c r="R79" s="135"/>
    </row>
    <row r="80" spans="14:18" ht="19.2" thickTop="1" thickBot="1" x14ac:dyDescent="0.35">
      <c r="N80" s="173"/>
      <c r="O80" s="152"/>
      <c r="P80" s="152"/>
      <c r="Q80" s="152"/>
      <c r="R80" s="153"/>
    </row>
    <row r="87" spans="16:16" x14ac:dyDescent="0.3">
      <c r="P87" s="174"/>
    </row>
    <row r="89" spans="16:16" x14ac:dyDescent="0.3">
      <c r="P89" s="174"/>
    </row>
    <row r="92" spans="16:16" x14ac:dyDescent="0.3">
      <c r="P92" s="174"/>
    </row>
    <row r="233" spans="31:35" ht="15" thickBot="1" x14ac:dyDescent="0.35">
      <c r="AE233" s="70" t="s">
        <v>87</v>
      </c>
      <c r="AH233" s="70" t="s">
        <v>99</v>
      </c>
    </row>
    <row r="234" spans="31:35" x14ac:dyDescent="0.3">
      <c r="AE234" s="175"/>
      <c r="AF234" s="176">
        <v>0</v>
      </c>
      <c r="AH234" s="175"/>
      <c r="AI234" s="177">
        <v>5.0000000000000001E-3</v>
      </c>
    </row>
    <row r="235" spans="31:35" x14ac:dyDescent="0.3">
      <c r="AE235" s="178">
        <v>1</v>
      </c>
      <c r="AF235" s="158">
        <f>Input_Data!K15</f>
        <v>1976</v>
      </c>
      <c r="AH235" s="178">
        <v>1</v>
      </c>
      <c r="AI235" s="179">
        <f>Input_Data!D15</f>
        <v>0.21</v>
      </c>
    </row>
    <row r="236" spans="31:35" x14ac:dyDescent="0.3">
      <c r="AE236" s="178">
        <v>2</v>
      </c>
      <c r="AF236" s="158">
        <f>Input_Data!K16</f>
        <v>5926</v>
      </c>
      <c r="AH236" s="178">
        <v>2</v>
      </c>
      <c r="AI236" s="179">
        <f>Input_Data!D16</f>
        <v>0.51</v>
      </c>
    </row>
    <row r="237" spans="31:35" ht="15" thickBot="1" x14ac:dyDescent="0.35">
      <c r="AE237" s="178">
        <v>3</v>
      </c>
      <c r="AF237" s="158">
        <f>Input_Data!K17</f>
        <v>15801</v>
      </c>
      <c r="AH237" s="180">
        <v>3</v>
      </c>
      <c r="AI237" s="181">
        <f>Input_Data!D17</f>
        <v>0.99</v>
      </c>
    </row>
    <row r="238" spans="31:35" x14ac:dyDescent="0.3">
      <c r="AE238" s="178">
        <v>4</v>
      </c>
      <c r="AF238" s="158">
        <f>Input_Data!K18</f>
        <v>27651</v>
      </c>
    </row>
    <row r="239" spans="31:35" ht="15" thickBot="1" x14ac:dyDescent="0.35">
      <c r="AE239" s="180">
        <v>5</v>
      </c>
      <c r="AF239" s="182">
        <f>Input_Data!K19</f>
        <v>39501</v>
      </c>
    </row>
    <row r="240" spans="31:35" ht="26.25" customHeight="1" thickBot="1" x14ac:dyDescent="0.35"/>
    <row r="241" spans="30:35" ht="24.75" customHeight="1" x14ac:dyDescent="0.3">
      <c r="AH241" s="183"/>
      <c r="AI241" s="184"/>
    </row>
    <row r="242" spans="30:35" x14ac:dyDescent="0.3">
      <c r="AH242" s="110"/>
      <c r="AI242" s="185"/>
    </row>
    <row r="243" spans="30:35" ht="15" thickBot="1" x14ac:dyDescent="0.35">
      <c r="AH243" s="113"/>
      <c r="AI243" s="186"/>
    </row>
    <row r="244" spans="30:35" ht="29.25" customHeight="1" thickBot="1" x14ac:dyDescent="0.35">
      <c r="AD244" s="187" t="str">
        <f>Input_Data!K11</f>
        <v>Cost of Risk Control =</v>
      </c>
      <c r="AE244" s="188">
        <f>Input_Data!L11</f>
        <v>0.8</v>
      </c>
      <c r="AF244" s="189" t="str">
        <f>Input_Data!L10</f>
        <v>Initial Residual Risk</v>
      </c>
    </row>
    <row r="246" spans="30:35" x14ac:dyDescent="0.3">
      <c r="AE246" s="70"/>
    </row>
    <row r="248" spans="30:35" x14ac:dyDescent="0.3">
      <c r="AD248" s="190" t="s">
        <v>143</v>
      </c>
      <c r="AE248" s="191"/>
      <c r="AF248" s="190" t="s">
        <v>144</v>
      </c>
      <c r="AG248" s="191"/>
      <c r="AH248" s="192" t="s">
        <v>142</v>
      </c>
      <c r="AI248" s="190" t="s">
        <v>141</v>
      </c>
    </row>
    <row r="249" spans="30:35" x14ac:dyDescent="0.3">
      <c r="AD249" s="193">
        <f>AE236-1</f>
        <v>1</v>
      </c>
      <c r="AE249" s="194">
        <f>Input_Data!H4</f>
        <v>1</v>
      </c>
      <c r="AF249" s="195" t="str">
        <f>Input_Data!H5</f>
        <v>Negligible</v>
      </c>
      <c r="AG249" s="196" t="str">
        <f>Input_Data!H6</f>
        <v>&lt; 1,976</v>
      </c>
      <c r="AH249" s="197">
        <f>Input_Data!J15</f>
        <v>0.05</v>
      </c>
      <c r="AI249" s="198">
        <f>Input_Data!I15</f>
        <v>0.285361216730038</v>
      </c>
    </row>
    <row r="250" spans="30:35" x14ac:dyDescent="0.3">
      <c r="AD250" s="193">
        <f>AF236-1</f>
        <v>5925</v>
      </c>
      <c r="AE250" s="194">
        <f>Input_Data!I4</f>
        <v>2</v>
      </c>
      <c r="AF250" s="199" t="str">
        <f>Input_Data!I5</f>
        <v>Minor</v>
      </c>
      <c r="AG250" s="200" t="str">
        <f>Input_Data!I6</f>
        <v>1,976 - 5,926</v>
      </c>
      <c r="AH250" s="197">
        <f>Input_Data!J16</f>
        <v>0.15</v>
      </c>
      <c r="AI250" s="198">
        <f>Input_Data!I16</f>
        <v>0.25532319391634983</v>
      </c>
    </row>
    <row r="251" spans="30:35" x14ac:dyDescent="0.3">
      <c r="AD251" s="193">
        <f>AF237-1</f>
        <v>15800</v>
      </c>
      <c r="AE251" s="194">
        <f>Input_Data!J4</f>
        <v>3</v>
      </c>
      <c r="AF251" s="195" t="str">
        <f>Input_Data!J5</f>
        <v>Serious</v>
      </c>
      <c r="AG251" s="200" t="str">
        <f>Input_Data!J6</f>
        <v>&gt; 5,926 - 15,801</v>
      </c>
      <c r="AH251" s="197">
        <f>Input_Data!J17</f>
        <v>0.4</v>
      </c>
      <c r="AI251" s="198">
        <f>Input_Data!I17</f>
        <v>0.18022813688212927</v>
      </c>
    </row>
    <row r="252" spans="30:35" x14ac:dyDescent="0.3">
      <c r="AD252" s="193">
        <f>AF238-1</f>
        <v>27650</v>
      </c>
      <c r="AE252" s="194">
        <f>Input_Data!K4</f>
        <v>4</v>
      </c>
      <c r="AF252" s="195" t="str">
        <f>Input_Data!K5</f>
        <v>Major</v>
      </c>
      <c r="AG252" s="200" t="str">
        <f>Input_Data!K6</f>
        <v>&gt; 15,801 - 27,651</v>
      </c>
      <c r="AH252" s="197">
        <f>Input_Data!J18</f>
        <v>0.7</v>
      </c>
      <c r="AI252" s="198">
        <f>Input_Data!I18</f>
        <v>9.0114068441064635E-2</v>
      </c>
    </row>
    <row r="253" spans="30:35" x14ac:dyDescent="0.3">
      <c r="AD253" s="193">
        <f>AF239-1</f>
        <v>39500</v>
      </c>
      <c r="AE253" s="194">
        <f>Input_Data!L4</f>
        <v>5</v>
      </c>
      <c r="AF253" s="199" t="str">
        <f>Input_Data!L5</f>
        <v>Severe</v>
      </c>
      <c r="AG253" s="201" t="str">
        <f>Input_Data!L6</f>
        <v>&gt; 27,651 - 39,501</v>
      </c>
      <c r="AH253" s="197">
        <f>Input_Data!J19</f>
        <v>1</v>
      </c>
      <c r="AI253" s="198">
        <f>Input_Data!I19</f>
        <v>0</v>
      </c>
    </row>
    <row r="256" spans="30:35" ht="15" thickBot="1" x14ac:dyDescent="0.35">
      <c r="AF256" s="70" t="s">
        <v>80</v>
      </c>
    </row>
    <row r="257" spans="32:34" x14ac:dyDescent="0.3">
      <c r="AF257" s="202">
        <f>Input_Data!C4</f>
        <v>1</v>
      </c>
      <c r="AG257" s="203">
        <f>Input_Data!D4</f>
        <v>2</v>
      </c>
      <c r="AH257" s="204">
        <f>Input_Data!E4</f>
        <v>3</v>
      </c>
    </row>
    <row r="258" spans="32:34" x14ac:dyDescent="0.3">
      <c r="AF258" s="205" t="str">
        <f>Input_Data!C5</f>
        <v>Low</v>
      </c>
      <c r="AG258" s="206" t="str">
        <f>Input_Data!D5</f>
        <v>Medium</v>
      </c>
      <c r="AH258" s="207" t="str">
        <f>Input_Data!E5</f>
        <v>High</v>
      </c>
    </row>
    <row r="259" spans="32:34" ht="15" thickBot="1" x14ac:dyDescent="0.35">
      <c r="AF259" s="208" t="str">
        <f>Input_Data!C6</f>
        <v>&lt; 0.21</v>
      </c>
      <c r="AG259" s="209" t="str">
        <f>Input_Data!D6</f>
        <v>0.21 - 0.51</v>
      </c>
      <c r="AH259" s="210" t="str">
        <f>Input_Data!E6</f>
        <v>&gt; 0.51 - 0.99</v>
      </c>
    </row>
  </sheetData>
  <mergeCells count="1">
    <mergeCell ref="AA24:AB24"/>
  </mergeCells>
  <conditionalFormatting sqref="P57">
    <cfRule type="iconSet" priority="6">
      <iconSet iconSet="4TrafficLights" reverse="1">
        <cfvo type="percent" val="0"/>
        <cfvo type="num" val="$AF$236" gte="0"/>
        <cfvo type="num" val="$AF$237" gte="0"/>
        <cfvo type="num" val="$AF$238" gte="0"/>
      </iconSet>
    </cfRule>
  </conditionalFormatting>
  <conditionalFormatting sqref="Q57">
    <cfRule type="iconSet" priority="7">
      <iconSet iconSet="4TrafficLights" reverse="1">
        <cfvo type="percent" val="0"/>
        <cfvo type="num" val="$AF$236" gte="0"/>
        <cfvo type="num" val="$AF$237" gte="0"/>
        <cfvo type="num" val="$AF$238" gte="0"/>
      </iconSet>
    </cfRule>
  </conditionalFormatting>
  <conditionalFormatting sqref="Q62">
    <cfRule type="iconSet" priority="3">
      <iconSet iconSet="4TrafficLights">
        <cfvo type="percent" val="0"/>
        <cfvo type="num" val="$AI$252"/>
        <cfvo type="num" val="$AI$251"/>
        <cfvo type="num" val="$AI$250" gte="0"/>
      </iconSet>
    </cfRule>
  </conditionalFormatting>
  <conditionalFormatting sqref="Q78">
    <cfRule type="iconSet" priority="2">
      <iconSet iconSet="4TrafficLights">
        <cfvo type="percent" val="0"/>
        <cfvo type="num" val="$AI$252"/>
        <cfvo type="num" val="$AI$251"/>
        <cfvo type="num" val="$AI$250" gte="0"/>
      </iconSet>
    </cfRule>
  </conditionalFormatting>
  <conditionalFormatting sqref="Z26">
    <cfRule type="iconSet" priority="103">
      <iconSet iconSet="4TrafficLights" reverse="1">
        <cfvo type="percent" val="0"/>
        <cfvo type="num" val="$AF$236" gte="0"/>
        <cfvo type="num" val="$AF$237" gte="0"/>
        <cfvo type="num" val="$AF$238" gte="0"/>
      </iconSet>
    </cfRule>
  </conditionalFormatting>
  <conditionalFormatting sqref="Z27:Z40">
    <cfRule type="iconSet" priority="104">
      <iconSet iconSet="4TrafficLights" reverse="1">
        <cfvo type="percent" val="0"/>
        <cfvo type="num" val="$AF$236" gte="0"/>
        <cfvo type="num" val="$AF$237" gte="0"/>
        <cfvo type="num" val="$AF$238" gte="0"/>
      </iconSet>
    </cfRule>
  </conditionalFormatting>
  <conditionalFormatting sqref="Z46">
    <cfRule type="iconSet" priority="9">
      <iconSet iconSet="4TrafficLights" reverse="1">
        <cfvo type="percent" val="0"/>
        <cfvo type="num" val="$AF$236" gte="0"/>
        <cfvo type="num" val="$AF$237" gte="0"/>
        <cfvo type="num" val="$AF$238" gte="0"/>
      </iconSet>
    </cfRule>
  </conditionalFormatting>
  <conditionalFormatting sqref="AC26:AC39">
    <cfRule type="iconSet" priority="1">
      <iconSet iconSet="4TrafficLights" reverse="1">
        <cfvo type="percent" val="0"/>
        <cfvo type="num" val="$AF$236" gte="0"/>
        <cfvo type="num" val="$AF$237" gte="0"/>
        <cfvo type="num" val="$AF$238" gte="0"/>
      </iconSet>
    </cfRule>
  </conditionalFormatting>
  <conditionalFormatting sqref="AC40">
    <cfRule type="iconSet" priority="102">
      <iconSet iconSet="4TrafficLights" reverse="1">
        <cfvo type="percent" val="0"/>
        <cfvo type="num" val="$AF$236" gte="0"/>
        <cfvo type="num" val="$AF$237" gte="0"/>
        <cfvo type="num" val="$AF$238" gte="0"/>
      </iconSet>
    </cfRule>
  </conditionalFormatting>
  <conditionalFormatting sqref="AC46">
    <cfRule type="iconSet" priority="11">
      <iconSet iconSet="4TrafficLights" reverse="1">
        <cfvo type="percent" val="0"/>
        <cfvo type="num" val="$AF$236" gte="0"/>
        <cfvo type="num" val="$AF$237" gte="0"/>
        <cfvo type="num" val="$AF$238" gte="0"/>
      </iconSet>
    </cfRule>
  </conditionalFormatting>
  <conditionalFormatting sqref="AD46">
    <cfRule type="iconSet" priority="4">
      <iconSet reverse="1">
        <cfvo type="percent" val="0"/>
        <cfvo type="num" val="$AE$244*$Z$46" gte="0"/>
        <cfvo type="num" val="$Z$46"/>
      </iconSet>
    </cfRule>
  </conditionalFormatting>
  <conditionalFormatting sqref="AD249">
    <cfRule type="iconSet" priority="33">
      <iconSet iconSet="4TrafficLights" showValue="0" reverse="1">
        <cfvo type="percent" val="0"/>
        <cfvo type="num" val="$AF$236" gte="0"/>
        <cfvo type="num" val="$AF$237" gte="0"/>
        <cfvo type="num" val="$AF$238" gte="0"/>
      </iconSet>
    </cfRule>
  </conditionalFormatting>
  <conditionalFormatting sqref="AD250:AD253">
    <cfRule type="iconSet" priority="42">
      <iconSet iconSet="4TrafficLights" showValue="0" reverse="1">
        <cfvo type="percent" val="0"/>
        <cfvo type="num" val="$AF$236" gte="0"/>
        <cfvo type="num" val="$AF$237" gte="0"/>
        <cfvo type="num" val="$AF$238" gte="0"/>
      </iconSet>
    </cfRule>
  </conditionalFormatting>
  <conditionalFormatting sqref="AG26:AG39">
    <cfRule type="iconSet" priority="105">
      <iconSet iconSet="4TrafficLights" reverse="1">
        <cfvo type="percent" val="0"/>
        <cfvo type="num" val="$AF$236" gte="0"/>
        <cfvo type="num" val="$AF$237" gte="0"/>
        <cfvo type="num" val="$AF$238" gte="0"/>
      </iconSet>
    </cfRule>
  </conditionalFormatting>
  <conditionalFormatting sqref="AG40">
    <cfRule type="iconSet" priority="100">
      <iconSet iconSet="4TrafficLights" reverse="1">
        <cfvo type="percent" val="0"/>
        <cfvo type="num" val="$AF$236" gte="0"/>
        <cfvo type="num" val="$AF$237" gte="0"/>
        <cfvo type="num" val="$AF$238" gte="0"/>
      </iconSet>
    </cfRule>
  </conditionalFormatting>
  <conditionalFormatting sqref="AG46">
    <cfRule type="iconSet" priority="89">
      <iconSet iconSet="4TrafficLights" reverse="1">
        <cfvo type="percent" val="0"/>
        <cfvo type="num" val="$AF$236" gte="0"/>
        <cfvo type="num" val="$AF$237" gte="0"/>
        <cfvo type="num" val="$AF$238" gte="0"/>
      </iconSet>
    </cfRule>
  </conditionalFormatting>
  <conditionalFormatting sqref="AO34">
    <cfRule type="iconSet" priority="1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AP24">
    <cfRule type="iconSet" priority="18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dataValidations count="7">
    <dataValidation type="list" allowBlank="1" showInputMessage="1" showErrorMessage="1" sqref="J27:J40" xr:uid="{00000000-0002-0000-0000-000000000000}">
      <formula1>$J$4:$J$12</formula1>
    </dataValidation>
    <dataValidation type="list" allowBlank="1" showInputMessage="1" showErrorMessage="1" sqref="K27:K40" xr:uid="{00000000-0002-0000-0000-000001000000}">
      <formula1>$K$3:$K$23</formula1>
    </dataValidation>
    <dataValidation type="list" allowBlank="1" showInputMessage="1" showErrorMessage="1" prompt="PERT/Triang/Beta" sqref="W26:W40" xr:uid="{00000000-0002-0000-0000-000002000000}">
      <formula1>$S26:$U26</formula1>
    </dataValidation>
    <dataValidation type="list" allowBlank="1" showInputMessage="1" showErrorMessage="1" sqref="N27:N40" xr:uid="{00000000-0002-0000-0000-000003000000}">
      <formula1>$N$3:$N$6</formula1>
    </dataValidation>
    <dataValidation type="list" allowBlank="1" showInputMessage="1" showErrorMessage="1" sqref="L27:L40" xr:uid="{00000000-0002-0000-0000-000004000000}">
      <formula1>$L$12:$L$14</formula1>
    </dataValidation>
    <dataValidation type="list" allowBlank="1" showInputMessage="1" showErrorMessage="1" sqref="M40" xr:uid="{00000000-0002-0000-0000-000005000000}">
      <formula1>$M$3:$M$11</formula1>
    </dataValidation>
    <dataValidation type="list" allowBlank="1" showInputMessage="1" showErrorMessage="1" sqref="M27:M39" xr:uid="{00000000-0002-0000-0000-000006000000}">
      <formula1>$M$3:$M$10</formula1>
    </dataValidation>
  </dataValidations>
  <pageMargins left="0.7" right="0.7" top="0.75" bottom="0.75" header="0.3" footer="0.3"/>
  <pageSetup orientation="portrait" horizont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21"/>
  <sheetViews>
    <sheetView showGridLines="0" tabSelected="1" zoomScale="80" zoomScaleNormal="80" workbookViewId="0">
      <selection activeCell="D15" sqref="D15"/>
    </sheetView>
  </sheetViews>
  <sheetFormatPr defaultColWidth="9.109375" defaultRowHeight="54" customHeight="1" x14ac:dyDescent="0.3"/>
  <cols>
    <col min="1" max="2" width="9.109375" style="1"/>
    <col min="3" max="3" width="14" style="1" customWidth="1"/>
    <col min="4" max="4" width="12.33203125" style="1" customWidth="1"/>
    <col min="5" max="5" width="15" style="2" customWidth="1"/>
    <col min="6" max="6" width="8.5546875" style="1" customWidth="1"/>
    <col min="7" max="7" width="7.109375" style="1" customWidth="1"/>
    <col min="8" max="8" width="20" style="1" customWidth="1"/>
    <col min="9" max="9" width="16" style="1" customWidth="1"/>
    <col min="10" max="10" width="17.44140625" style="1" customWidth="1"/>
    <col min="11" max="11" width="22" style="1" customWidth="1"/>
    <col min="12" max="12" width="17.5546875" style="1" customWidth="1"/>
    <col min="13" max="13" width="15.44140625" style="1" customWidth="1"/>
    <col min="14" max="14" width="15.5546875" style="1" customWidth="1"/>
    <col min="15" max="15" width="16.33203125" style="1" customWidth="1"/>
    <col min="16" max="16" width="9.109375" style="1"/>
    <col min="17" max="17" width="25.6640625" style="1" customWidth="1"/>
    <col min="18" max="16384" width="9.109375" style="1"/>
  </cols>
  <sheetData>
    <row r="1" spans="2:15" ht="16.5" customHeight="1" x14ac:dyDescent="0.3"/>
    <row r="2" spans="2:15" ht="19.5" customHeight="1" x14ac:dyDescent="0.3">
      <c r="E2" s="3"/>
    </row>
    <row r="3" spans="2:15" ht="16.5" customHeight="1" thickBot="1" x14ac:dyDescent="0.35"/>
    <row r="4" spans="2:15" ht="18.75" customHeight="1" x14ac:dyDescent="0.3">
      <c r="C4" s="4">
        <v>1</v>
      </c>
      <c r="D4" s="5">
        <v>2</v>
      </c>
      <c r="E4" s="6">
        <v>3</v>
      </c>
      <c r="H4" s="4">
        <v>1</v>
      </c>
      <c r="I4" s="5">
        <v>2</v>
      </c>
      <c r="J4" s="5">
        <v>3</v>
      </c>
      <c r="K4" s="5">
        <v>4</v>
      </c>
      <c r="L4" s="6">
        <v>5</v>
      </c>
    </row>
    <row r="5" spans="2:15" ht="18.75" customHeight="1" x14ac:dyDescent="0.3">
      <c r="C5" s="7" t="s">
        <v>81</v>
      </c>
      <c r="D5" s="8" t="s">
        <v>83</v>
      </c>
      <c r="E5" s="9" t="s">
        <v>82</v>
      </c>
      <c r="H5" s="7" t="s">
        <v>84</v>
      </c>
      <c r="I5" s="10" t="s">
        <v>103</v>
      </c>
      <c r="J5" s="11" t="s">
        <v>101</v>
      </c>
      <c r="K5" s="12" t="s">
        <v>85</v>
      </c>
      <c r="L5" s="13" t="s">
        <v>102</v>
      </c>
      <c r="O5" s="14"/>
    </row>
    <row r="6" spans="2:15" ht="30.75" customHeight="1" thickBot="1" x14ac:dyDescent="0.35">
      <c r="C6" s="15" t="str">
        <f>"&lt; "&amp;D15</f>
        <v>&lt; 0.21</v>
      </c>
      <c r="D6" s="16" t="str">
        <f>D15&amp;" - "&amp;D16</f>
        <v>0.21 - 0.51</v>
      </c>
      <c r="E6" s="17" t="str">
        <f>"&gt; "&amp;D16&amp;" - "&amp;D17</f>
        <v>&gt; 0.51 - 0.99</v>
      </c>
      <c r="H6" s="15" t="str">
        <f>"&lt; "&amp;TEXT(K15,"#,000")</f>
        <v>&lt; 1,976</v>
      </c>
      <c r="I6" s="16" t="str">
        <f>TEXT(K15,"#,000")&amp;" - "&amp;TEXT(K16,"#,000")</f>
        <v>1,976 - 5,926</v>
      </c>
      <c r="J6" s="16" t="str">
        <f>"&gt; "&amp;TEXT(K16,"#,000")&amp;" - "&amp;TEXT(K17,"#,000")</f>
        <v>&gt; 5,926 - 15,801</v>
      </c>
      <c r="K6" s="16" t="str">
        <f>"&gt; "&amp;TEXT(K17,"#,000")&amp;" - "&amp;TEXT(K18,"#,000")</f>
        <v>&gt; 15,801 - 27,651</v>
      </c>
      <c r="L6" s="18" t="str">
        <f>"&gt; "&amp;TEXT(K18,"#,000")&amp;" - "&amp;TEXT(K19,"#,000")</f>
        <v>&gt; 27,651 - 39,501</v>
      </c>
      <c r="O6" s="14"/>
    </row>
    <row r="7" spans="2:15" ht="30.75" customHeight="1" x14ac:dyDescent="0.3">
      <c r="C7" s="19"/>
      <c r="D7" s="2"/>
      <c r="H7" s="19"/>
      <c r="I7" s="2"/>
      <c r="J7" s="2"/>
      <c r="K7" s="2"/>
      <c r="L7" s="20"/>
      <c r="O7" s="14"/>
    </row>
    <row r="8" spans="2:15" ht="18.75" customHeight="1" thickBot="1" x14ac:dyDescent="0.35">
      <c r="E8" s="1"/>
      <c r="O8" s="14"/>
    </row>
    <row r="9" spans="2:15" ht="12.75" customHeight="1" thickBot="1" x14ac:dyDescent="0.35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O9" s="14"/>
    </row>
    <row r="10" spans="2:15" ht="24" customHeight="1" x14ac:dyDescent="0.5">
      <c r="B10" s="24"/>
      <c r="C10" s="25" t="s">
        <v>104</v>
      </c>
      <c r="D10" s="26"/>
      <c r="E10" s="26"/>
      <c r="H10" s="27" t="s">
        <v>86</v>
      </c>
      <c r="I10" s="59">
        <v>91999</v>
      </c>
      <c r="L10" s="28" t="s">
        <v>149</v>
      </c>
      <c r="M10" s="29"/>
    </row>
    <row r="11" spans="2:15" ht="22.5" customHeight="1" x14ac:dyDescent="0.3">
      <c r="B11" s="24"/>
      <c r="E11" s="1"/>
      <c r="H11" s="30" t="s">
        <v>94</v>
      </c>
      <c r="I11" s="60">
        <v>131500</v>
      </c>
      <c r="K11" s="31" t="s">
        <v>150</v>
      </c>
      <c r="L11" s="64">
        <v>0.8</v>
      </c>
      <c r="M11" s="29"/>
    </row>
    <row r="12" spans="2:15" ht="18" customHeight="1" x14ac:dyDescent="0.3">
      <c r="B12" s="24"/>
      <c r="E12" s="1"/>
      <c r="H12" s="32" t="s">
        <v>105</v>
      </c>
      <c r="I12" s="33">
        <f>(I11-I10)/I11</f>
        <v>0.30038783269961977</v>
      </c>
      <c r="M12" s="29"/>
    </row>
    <row r="13" spans="2:15" ht="18" customHeight="1" thickBot="1" x14ac:dyDescent="0.35">
      <c r="B13" s="24"/>
      <c r="E13" s="1"/>
      <c r="H13" s="34" t="s">
        <v>95</v>
      </c>
      <c r="I13" s="35">
        <f>I11-I10</f>
        <v>39501</v>
      </c>
      <c r="M13" s="29"/>
    </row>
    <row r="14" spans="2:15" ht="35.25" customHeight="1" thickBot="1" x14ac:dyDescent="0.35">
      <c r="B14" s="24"/>
      <c r="C14" s="36" t="s">
        <v>98</v>
      </c>
      <c r="D14" s="37" t="s">
        <v>88</v>
      </c>
      <c r="E14" s="1"/>
      <c r="H14" s="36" t="s">
        <v>87</v>
      </c>
      <c r="I14" s="38" t="s">
        <v>96</v>
      </c>
      <c r="J14" s="39" t="s">
        <v>139</v>
      </c>
      <c r="K14" s="40" t="s">
        <v>140</v>
      </c>
      <c r="L14" s="37" t="s">
        <v>97</v>
      </c>
      <c r="M14" s="29"/>
    </row>
    <row r="15" spans="2:15" ht="18" customHeight="1" x14ac:dyDescent="0.3">
      <c r="B15" s="24"/>
      <c r="C15" s="41" t="s">
        <v>81</v>
      </c>
      <c r="D15" s="65">
        <v>0.21</v>
      </c>
      <c r="E15" s="1"/>
      <c r="G15" s="42">
        <f>($I$11-$I$10-K15)/($I$11-K15)</f>
        <v>0.2897146474784596</v>
      </c>
      <c r="H15" s="41" t="s">
        <v>89</v>
      </c>
      <c r="I15" s="43">
        <f t="shared" ref="I15" si="0">L15/$I$11</f>
        <v>0.285361216730038</v>
      </c>
      <c r="J15" s="61">
        <v>0.05</v>
      </c>
      <c r="K15" s="44">
        <f>ROUNDUP(J15*$I$13,0)</f>
        <v>1976</v>
      </c>
      <c r="L15" s="45">
        <f>$I$13-K15</f>
        <v>37525</v>
      </c>
      <c r="M15" s="29"/>
    </row>
    <row r="16" spans="2:15" ht="18" customHeight="1" x14ac:dyDescent="0.3">
      <c r="B16" s="24"/>
      <c r="C16" s="41" t="s">
        <v>83</v>
      </c>
      <c r="D16" s="65">
        <v>0.51</v>
      </c>
      <c r="E16" s="1"/>
      <c r="H16" s="41" t="s">
        <v>90</v>
      </c>
      <c r="I16" s="43">
        <f>L16/$I$11</f>
        <v>0.25532319391634983</v>
      </c>
      <c r="J16" s="62">
        <v>0.15</v>
      </c>
      <c r="K16" s="46">
        <f>ROUNDUP(J16*$I$13,0)</f>
        <v>5926</v>
      </c>
      <c r="L16" s="45">
        <f>$I$13-K16</f>
        <v>33575</v>
      </c>
      <c r="M16" s="29"/>
    </row>
    <row r="17" spans="2:13" ht="18" customHeight="1" thickBot="1" x14ac:dyDescent="0.35">
      <c r="B17" s="24"/>
      <c r="C17" s="47" t="s">
        <v>82</v>
      </c>
      <c r="D17" s="48">
        <v>0.99</v>
      </c>
      <c r="E17" s="1"/>
      <c r="H17" s="41" t="s">
        <v>91</v>
      </c>
      <c r="I17" s="43">
        <f t="shared" ref="I17:I19" si="1">L17/$I$11</f>
        <v>0.18022813688212927</v>
      </c>
      <c r="J17" s="62">
        <v>0.4</v>
      </c>
      <c r="K17" s="46">
        <f>ROUNDUP(J17*$I$13,0)</f>
        <v>15801</v>
      </c>
      <c r="L17" s="45">
        <f>$I$13-K17</f>
        <v>23700</v>
      </c>
      <c r="M17" s="29"/>
    </row>
    <row r="18" spans="2:13" ht="18" customHeight="1" thickBot="1" x14ac:dyDescent="0.35">
      <c r="B18" s="24"/>
      <c r="E18" s="1"/>
      <c r="H18" s="41" t="s">
        <v>92</v>
      </c>
      <c r="I18" s="43">
        <f t="shared" si="1"/>
        <v>9.0114068441064635E-2</v>
      </c>
      <c r="J18" s="63">
        <v>0.7</v>
      </c>
      <c r="K18" s="49">
        <f>ROUNDUP(J18*$I$13,0)</f>
        <v>27651</v>
      </c>
      <c r="L18" s="45">
        <f>$I$13-K18</f>
        <v>11850</v>
      </c>
      <c r="M18" s="29"/>
    </row>
    <row r="19" spans="2:13" ht="18" customHeight="1" thickBot="1" x14ac:dyDescent="0.35">
      <c r="B19" s="24"/>
      <c r="E19" s="1"/>
      <c r="H19" s="47" t="s">
        <v>93</v>
      </c>
      <c r="I19" s="50">
        <f t="shared" si="1"/>
        <v>0</v>
      </c>
      <c r="J19" s="51">
        <v>1</v>
      </c>
      <c r="K19" s="52">
        <f>ROUNDUP(J19*$I$13,0)</f>
        <v>39501</v>
      </c>
      <c r="L19" s="53">
        <f>$I$13-K19</f>
        <v>0</v>
      </c>
      <c r="M19" s="29"/>
    </row>
    <row r="20" spans="2:13" ht="15" thickBot="1" x14ac:dyDescent="0.35">
      <c r="B20" s="54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6"/>
    </row>
    <row r="21" spans="2:13" ht="54" customHeight="1" x14ac:dyDescent="0.3">
      <c r="F21" s="58"/>
      <c r="I21" s="57"/>
      <c r="K21" s="42"/>
    </row>
  </sheetData>
  <sheetProtection password="8C64" sheet="1" objects="1" scenarios="1" selectLockedCell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20"/>
  <sheetViews>
    <sheetView workbookViewId="0">
      <selection activeCell="H26" sqref="H26"/>
    </sheetView>
  </sheetViews>
  <sheetFormatPr defaultRowHeight="14.4" x14ac:dyDescent="0.3"/>
  <cols>
    <col min="1" max="1" width="2.44140625" style="1" customWidth="1"/>
    <col min="2" max="2" width="10.6640625" style="1" bestFit="1" customWidth="1"/>
    <col min="3" max="3" width="8.5546875" style="1" bestFit="1" customWidth="1"/>
    <col min="4" max="4" width="13.6640625" style="1" bestFit="1" customWidth="1"/>
    <col min="5" max="5" width="11.44140625" style="1" bestFit="1" customWidth="1"/>
    <col min="6" max="6" width="16.6640625" style="1" bestFit="1" customWidth="1"/>
    <col min="7" max="7" width="12" style="1" bestFit="1" customWidth="1"/>
    <col min="8" max="8" width="14.33203125" style="1" bestFit="1" customWidth="1"/>
    <col min="9" max="9" width="15.6640625" style="1" bestFit="1" customWidth="1"/>
    <col min="10" max="10" width="14.5546875" style="1" customWidth="1"/>
    <col min="11" max="11" width="15.6640625" style="1" bestFit="1" customWidth="1"/>
    <col min="12" max="12" width="12" style="1" bestFit="1" customWidth="1"/>
    <col min="13" max="13" width="11.44140625" style="1" customWidth="1"/>
    <col min="14" max="14" width="11.5546875" style="1" bestFit="1" customWidth="1"/>
    <col min="15" max="15" width="12" style="1" bestFit="1" customWidth="1"/>
    <col min="16" max="253" width="9.109375" style="1"/>
    <col min="254" max="254" width="2.44140625" style="1" customWidth="1"/>
    <col min="255" max="255" width="39.5546875" style="1" customWidth="1"/>
    <col min="256" max="256" width="37.88671875" style="1" customWidth="1"/>
    <col min="257" max="257" width="18" style="1" customWidth="1"/>
    <col min="258" max="258" width="15" style="1" customWidth="1"/>
    <col min="259" max="259" width="27.5546875" style="1" customWidth="1"/>
    <col min="260" max="260" width="20.44140625" style="1" customWidth="1"/>
    <col min="261" max="261" width="15.44140625" style="1" bestFit="1" customWidth="1"/>
    <col min="262" max="263" width="14.44140625" style="1" bestFit="1" customWidth="1"/>
    <col min="264" max="264" width="14.33203125" style="1" bestFit="1" customWidth="1"/>
    <col min="265" max="265" width="17.33203125" style="1" customWidth="1"/>
    <col min="266" max="266" width="14.5546875" style="1" customWidth="1"/>
    <col min="267" max="267" width="12.5546875" style="1" bestFit="1" customWidth="1"/>
    <col min="268" max="268" width="12" style="1" bestFit="1" customWidth="1"/>
    <col min="269" max="269" width="11.44140625" style="1" customWidth="1"/>
    <col min="270" max="270" width="11.5546875" style="1" bestFit="1" customWidth="1"/>
    <col min="271" max="271" width="12" style="1" bestFit="1" customWidth="1"/>
    <col min="272" max="509" width="9.109375" style="1"/>
    <col min="510" max="510" width="2.44140625" style="1" customWidth="1"/>
    <col min="511" max="511" width="39.5546875" style="1" customWidth="1"/>
    <col min="512" max="512" width="37.88671875" style="1" customWidth="1"/>
    <col min="513" max="513" width="18" style="1" customWidth="1"/>
    <col min="514" max="514" width="15" style="1" customWidth="1"/>
    <col min="515" max="515" width="27.5546875" style="1" customWidth="1"/>
    <col min="516" max="516" width="20.44140625" style="1" customWidth="1"/>
    <col min="517" max="517" width="15.44140625" style="1" bestFit="1" customWidth="1"/>
    <col min="518" max="519" width="14.44140625" style="1" bestFit="1" customWidth="1"/>
    <col min="520" max="520" width="14.33203125" style="1" bestFit="1" customWidth="1"/>
    <col min="521" max="521" width="17.33203125" style="1" customWidth="1"/>
    <col min="522" max="522" width="14.5546875" style="1" customWidth="1"/>
    <col min="523" max="523" width="12.5546875" style="1" bestFit="1" customWidth="1"/>
    <col min="524" max="524" width="12" style="1" bestFit="1" customWidth="1"/>
    <col min="525" max="525" width="11.44140625" style="1" customWidth="1"/>
    <col min="526" max="526" width="11.5546875" style="1" bestFit="1" customWidth="1"/>
    <col min="527" max="527" width="12" style="1" bestFit="1" customWidth="1"/>
    <col min="528" max="765" width="9.109375" style="1"/>
    <col min="766" max="766" width="2.44140625" style="1" customWidth="1"/>
    <col min="767" max="767" width="39.5546875" style="1" customWidth="1"/>
    <col min="768" max="768" width="37.88671875" style="1" customWidth="1"/>
    <col min="769" max="769" width="18" style="1" customWidth="1"/>
    <col min="770" max="770" width="15" style="1" customWidth="1"/>
    <col min="771" max="771" width="27.5546875" style="1" customWidth="1"/>
    <col min="772" max="772" width="20.44140625" style="1" customWidth="1"/>
    <col min="773" max="773" width="15.44140625" style="1" bestFit="1" customWidth="1"/>
    <col min="774" max="775" width="14.44140625" style="1" bestFit="1" customWidth="1"/>
    <col min="776" max="776" width="14.33203125" style="1" bestFit="1" customWidth="1"/>
    <col min="777" max="777" width="17.33203125" style="1" customWidth="1"/>
    <col min="778" max="778" width="14.5546875" style="1" customWidth="1"/>
    <col min="779" max="779" width="12.5546875" style="1" bestFit="1" customWidth="1"/>
    <col min="780" max="780" width="12" style="1" bestFit="1" customWidth="1"/>
    <col min="781" max="781" width="11.44140625" style="1" customWidth="1"/>
    <col min="782" max="782" width="11.5546875" style="1" bestFit="1" customWidth="1"/>
    <col min="783" max="783" width="12" style="1" bestFit="1" customWidth="1"/>
    <col min="784" max="1021" width="9.109375" style="1"/>
    <col min="1022" max="1022" width="2.44140625" style="1" customWidth="1"/>
    <col min="1023" max="1023" width="39.5546875" style="1" customWidth="1"/>
    <col min="1024" max="1024" width="37.88671875" style="1" customWidth="1"/>
    <col min="1025" max="1025" width="18" style="1" customWidth="1"/>
    <col min="1026" max="1026" width="15" style="1" customWidth="1"/>
    <col min="1027" max="1027" width="27.5546875" style="1" customWidth="1"/>
    <col min="1028" max="1028" width="20.44140625" style="1" customWidth="1"/>
    <col min="1029" max="1029" width="15.44140625" style="1" bestFit="1" customWidth="1"/>
    <col min="1030" max="1031" width="14.44140625" style="1" bestFit="1" customWidth="1"/>
    <col min="1032" max="1032" width="14.33203125" style="1" bestFit="1" customWidth="1"/>
    <col min="1033" max="1033" width="17.33203125" style="1" customWidth="1"/>
    <col min="1034" max="1034" width="14.5546875" style="1" customWidth="1"/>
    <col min="1035" max="1035" width="12.5546875" style="1" bestFit="1" customWidth="1"/>
    <col min="1036" max="1036" width="12" style="1" bestFit="1" customWidth="1"/>
    <col min="1037" max="1037" width="11.44140625" style="1" customWidth="1"/>
    <col min="1038" max="1038" width="11.5546875" style="1" bestFit="1" customWidth="1"/>
    <col min="1039" max="1039" width="12" style="1" bestFit="1" customWidth="1"/>
    <col min="1040" max="1277" width="9.109375" style="1"/>
    <col min="1278" max="1278" width="2.44140625" style="1" customWidth="1"/>
    <col min="1279" max="1279" width="39.5546875" style="1" customWidth="1"/>
    <col min="1280" max="1280" width="37.88671875" style="1" customWidth="1"/>
    <col min="1281" max="1281" width="18" style="1" customWidth="1"/>
    <col min="1282" max="1282" width="15" style="1" customWidth="1"/>
    <col min="1283" max="1283" width="27.5546875" style="1" customWidth="1"/>
    <col min="1284" max="1284" width="20.44140625" style="1" customWidth="1"/>
    <col min="1285" max="1285" width="15.44140625" style="1" bestFit="1" customWidth="1"/>
    <col min="1286" max="1287" width="14.44140625" style="1" bestFit="1" customWidth="1"/>
    <col min="1288" max="1288" width="14.33203125" style="1" bestFit="1" customWidth="1"/>
    <col min="1289" max="1289" width="17.33203125" style="1" customWidth="1"/>
    <col min="1290" max="1290" width="14.5546875" style="1" customWidth="1"/>
    <col min="1291" max="1291" width="12.5546875" style="1" bestFit="1" customWidth="1"/>
    <col min="1292" max="1292" width="12" style="1" bestFit="1" customWidth="1"/>
    <col min="1293" max="1293" width="11.44140625" style="1" customWidth="1"/>
    <col min="1294" max="1294" width="11.5546875" style="1" bestFit="1" customWidth="1"/>
    <col min="1295" max="1295" width="12" style="1" bestFit="1" customWidth="1"/>
    <col min="1296" max="1533" width="9.109375" style="1"/>
    <col min="1534" max="1534" width="2.44140625" style="1" customWidth="1"/>
    <col min="1535" max="1535" width="39.5546875" style="1" customWidth="1"/>
    <col min="1536" max="1536" width="37.88671875" style="1" customWidth="1"/>
    <col min="1537" max="1537" width="18" style="1" customWidth="1"/>
    <col min="1538" max="1538" width="15" style="1" customWidth="1"/>
    <col min="1539" max="1539" width="27.5546875" style="1" customWidth="1"/>
    <col min="1540" max="1540" width="20.44140625" style="1" customWidth="1"/>
    <col min="1541" max="1541" width="15.44140625" style="1" bestFit="1" customWidth="1"/>
    <col min="1542" max="1543" width="14.44140625" style="1" bestFit="1" customWidth="1"/>
    <col min="1544" max="1544" width="14.33203125" style="1" bestFit="1" customWidth="1"/>
    <col min="1545" max="1545" width="17.33203125" style="1" customWidth="1"/>
    <col min="1546" max="1546" width="14.5546875" style="1" customWidth="1"/>
    <col min="1547" max="1547" width="12.5546875" style="1" bestFit="1" customWidth="1"/>
    <col min="1548" max="1548" width="12" style="1" bestFit="1" customWidth="1"/>
    <col min="1549" max="1549" width="11.44140625" style="1" customWidth="1"/>
    <col min="1550" max="1550" width="11.5546875" style="1" bestFit="1" customWidth="1"/>
    <col min="1551" max="1551" width="12" style="1" bestFit="1" customWidth="1"/>
    <col min="1552" max="1789" width="9.109375" style="1"/>
    <col min="1790" max="1790" width="2.44140625" style="1" customWidth="1"/>
    <col min="1791" max="1791" width="39.5546875" style="1" customWidth="1"/>
    <col min="1792" max="1792" width="37.88671875" style="1" customWidth="1"/>
    <col min="1793" max="1793" width="18" style="1" customWidth="1"/>
    <col min="1794" max="1794" width="15" style="1" customWidth="1"/>
    <col min="1795" max="1795" width="27.5546875" style="1" customWidth="1"/>
    <col min="1796" max="1796" width="20.44140625" style="1" customWidth="1"/>
    <col min="1797" max="1797" width="15.44140625" style="1" bestFit="1" customWidth="1"/>
    <col min="1798" max="1799" width="14.44140625" style="1" bestFit="1" customWidth="1"/>
    <col min="1800" max="1800" width="14.33203125" style="1" bestFit="1" customWidth="1"/>
    <col min="1801" max="1801" width="17.33203125" style="1" customWidth="1"/>
    <col min="1802" max="1802" width="14.5546875" style="1" customWidth="1"/>
    <col min="1803" max="1803" width="12.5546875" style="1" bestFit="1" customWidth="1"/>
    <col min="1804" max="1804" width="12" style="1" bestFit="1" customWidth="1"/>
    <col min="1805" max="1805" width="11.44140625" style="1" customWidth="1"/>
    <col min="1806" max="1806" width="11.5546875" style="1" bestFit="1" customWidth="1"/>
    <col min="1807" max="1807" width="12" style="1" bestFit="1" customWidth="1"/>
    <col min="1808" max="2045" width="9.109375" style="1"/>
    <col min="2046" max="2046" width="2.44140625" style="1" customWidth="1"/>
    <col min="2047" max="2047" width="39.5546875" style="1" customWidth="1"/>
    <col min="2048" max="2048" width="37.88671875" style="1" customWidth="1"/>
    <col min="2049" max="2049" width="18" style="1" customWidth="1"/>
    <col min="2050" max="2050" width="15" style="1" customWidth="1"/>
    <col min="2051" max="2051" width="27.5546875" style="1" customWidth="1"/>
    <col min="2052" max="2052" width="20.44140625" style="1" customWidth="1"/>
    <col min="2053" max="2053" width="15.44140625" style="1" bestFit="1" customWidth="1"/>
    <col min="2054" max="2055" width="14.44140625" style="1" bestFit="1" customWidth="1"/>
    <col min="2056" max="2056" width="14.33203125" style="1" bestFit="1" customWidth="1"/>
    <col min="2057" max="2057" width="17.33203125" style="1" customWidth="1"/>
    <col min="2058" max="2058" width="14.5546875" style="1" customWidth="1"/>
    <col min="2059" max="2059" width="12.5546875" style="1" bestFit="1" customWidth="1"/>
    <col min="2060" max="2060" width="12" style="1" bestFit="1" customWidth="1"/>
    <col min="2061" max="2061" width="11.44140625" style="1" customWidth="1"/>
    <col min="2062" max="2062" width="11.5546875" style="1" bestFit="1" customWidth="1"/>
    <col min="2063" max="2063" width="12" style="1" bestFit="1" customWidth="1"/>
    <col min="2064" max="2301" width="9.109375" style="1"/>
    <col min="2302" max="2302" width="2.44140625" style="1" customWidth="1"/>
    <col min="2303" max="2303" width="39.5546875" style="1" customWidth="1"/>
    <col min="2304" max="2304" width="37.88671875" style="1" customWidth="1"/>
    <col min="2305" max="2305" width="18" style="1" customWidth="1"/>
    <col min="2306" max="2306" width="15" style="1" customWidth="1"/>
    <col min="2307" max="2307" width="27.5546875" style="1" customWidth="1"/>
    <col min="2308" max="2308" width="20.44140625" style="1" customWidth="1"/>
    <col min="2309" max="2309" width="15.44140625" style="1" bestFit="1" customWidth="1"/>
    <col min="2310" max="2311" width="14.44140625" style="1" bestFit="1" customWidth="1"/>
    <col min="2312" max="2312" width="14.33203125" style="1" bestFit="1" customWidth="1"/>
    <col min="2313" max="2313" width="17.33203125" style="1" customWidth="1"/>
    <col min="2314" max="2314" width="14.5546875" style="1" customWidth="1"/>
    <col min="2315" max="2315" width="12.5546875" style="1" bestFit="1" customWidth="1"/>
    <col min="2316" max="2316" width="12" style="1" bestFit="1" customWidth="1"/>
    <col min="2317" max="2317" width="11.44140625" style="1" customWidth="1"/>
    <col min="2318" max="2318" width="11.5546875" style="1" bestFit="1" customWidth="1"/>
    <col min="2319" max="2319" width="12" style="1" bestFit="1" customWidth="1"/>
    <col min="2320" max="2557" width="9.109375" style="1"/>
    <col min="2558" max="2558" width="2.44140625" style="1" customWidth="1"/>
    <col min="2559" max="2559" width="39.5546875" style="1" customWidth="1"/>
    <col min="2560" max="2560" width="37.88671875" style="1" customWidth="1"/>
    <col min="2561" max="2561" width="18" style="1" customWidth="1"/>
    <col min="2562" max="2562" width="15" style="1" customWidth="1"/>
    <col min="2563" max="2563" width="27.5546875" style="1" customWidth="1"/>
    <col min="2564" max="2564" width="20.44140625" style="1" customWidth="1"/>
    <col min="2565" max="2565" width="15.44140625" style="1" bestFit="1" customWidth="1"/>
    <col min="2566" max="2567" width="14.44140625" style="1" bestFit="1" customWidth="1"/>
    <col min="2568" max="2568" width="14.33203125" style="1" bestFit="1" customWidth="1"/>
    <col min="2569" max="2569" width="17.33203125" style="1" customWidth="1"/>
    <col min="2570" max="2570" width="14.5546875" style="1" customWidth="1"/>
    <col min="2571" max="2571" width="12.5546875" style="1" bestFit="1" customWidth="1"/>
    <col min="2572" max="2572" width="12" style="1" bestFit="1" customWidth="1"/>
    <col min="2573" max="2573" width="11.44140625" style="1" customWidth="1"/>
    <col min="2574" max="2574" width="11.5546875" style="1" bestFit="1" customWidth="1"/>
    <col min="2575" max="2575" width="12" style="1" bestFit="1" customWidth="1"/>
    <col min="2576" max="2813" width="9.109375" style="1"/>
    <col min="2814" max="2814" width="2.44140625" style="1" customWidth="1"/>
    <col min="2815" max="2815" width="39.5546875" style="1" customWidth="1"/>
    <col min="2816" max="2816" width="37.88671875" style="1" customWidth="1"/>
    <col min="2817" max="2817" width="18" style="1" customWidth="1"/>
    <col min="2818" max="2818" width="15" style="1" customWidth="1"/>
    <col min="2819" max="2819" width="27.5546875" style="1" customWidth="1"/>
    <col min="2820" max="2820" width="20.44140625" style="1" customWidth="1"/>
    <col min="2821" max="2821" width="15.44140625" style="1" bestFit="1" customWidth="1"/>
    <col min="2822" max="2823" width="14.44140625" style="1" bestFit="1" customWidth="1"/>
    <col min="2824" max="2824" width="14.33203125" style="1" bestFit="1" customWidth="1"/>
    <col min="2825" max="2825" width="17.33203125" style="1" customWidth="1"/>
    <col min="2826" max="2826" width="14.5546875" style="1" customWidth="1"/>
    <col min="2827" max="2827" width="12.5546875" style="1" bestFit="1" customWidth="1"/>
    <col min="2828" max="2828" width="12" style="1" bestFit="1" customWidth="1"/>
    <col min="2829" max="2829" width="11.44140625" style="1" customWidth="1"/>
    <col min="2830" max="2830" width="11.5546875" style="1" bestFit="1" customWidth="1"/>
    <col min="2831" max="2831" width="12" style="1" bestFit="1" customWidth="1"/>
    <col min="2832" max="3069" width="9.109375" style="1"/>
    <col min="3070" max="3070" width="2.44140625" style="1" customWidth="1"/>
    <col min="3071" max="3071" width="39.5546875" style="1" customWidth="1"/>
    <col min="3072" max="3072" width="37.88671875" style="1" customWidth="1"/>
    <col min="3073" max="3073" width="18" style="1" customWidth="1"/>
    <col min="3074" max="3074" width="15" style="1" customWidth="1"/>
    <col min="3075" max="3075" width="27.5546875" style="1" customWidth="1"/>
    <col min="3076" max="3076" width="20.44140625" style="1" customWidth="1"/>
    <col min="3077" max="3077" width="15.44140625" style="1" bestFit="1" customWidth="1"/>
    <col min="3078" max="3079" width="14.44140625" style="1" bestFit="1" customWidth="1"/>
    <col min="3080" max="3080" width="14.33203125" style="1" bestFit="1" customWidth="1"/>
    <col min="3081" max="3081" width="17.33203125" style="1" customWidth="1"/>
    <col min="3082" max="3082" width="14.5546875" style="1" customWidth="1"/>
    <col min="3083" max="3083" width="12.5546875" style="1" bestFit="1" customWidth="1"/>
    <col min="3084" max="3084" width="12" style="1" bestFit="1" customWidth="1"/>
    <col min="3085" max="3085" width="11.44140625" style="1" customWidth="1"/>
    <col min="3086" max="3086" width="11.5546875" style="1" bestFit="1" customWidth="1"/>
    <col min="3087" max="3087" width="12" style="1" bestFit="1" customWidth="1"/>
    <col min="3088" max="3325" width="9.109375" style="1"/>
    <col min="3326" max="3326" width="2.44140625" style="1" customWidth="1"/>
    <col min="3327" max="3327" width="39.5546875" style="1" customWidth="1"/>
    <col min="3328" max="3328" width="37.88671875" style="1" customWidth="1"/>
    <col min="3329" max="3329" width="18" style="1" customWidth="1"/>
    <col min="3330" max="3330" width="15" style="1" customWidth="1"/>
    <col min="3331" max="3331" width="27.5546875" style="1" customWidth="1"/>
    <col min="3332" max="3332" width="20.44140625" style="1" customWidth="1"/>
    <col min="3333" max="3333" width="15.44140625" style="1" bestFit="1" customWidth="1"/>
    <col min="3334" max="3335" width="14.44140625" style="1" bestFit="1" customWidth="1"/>
    <col min="3336" max="3336" width="14.33203125" style="1" bestFit="1" customWidth="1"/>
    <col min="3337" max="3337" width="17.33203125" style="1" customWidth="1"/>
    <col min="3338" max="3338" width="14.5546875" style="1" customWidth="1"/>
    <col min="3339" max="3339" width="12.5546875" style="1" bestFit="1" customWidth="1"/>
    <col min="3340" max="3340" width="12" style="1" bestFit="1" customWidth="1"/>
    <col min="3341" max="3341" width="11.44140625" style="1" customWidth="1"/>
    <col min="3342" max="3342" width="11.5546875" style="1" bestFit="1" customWidth="1"/>
    <col min="3343" max="3343" width="12" style="1" bestFit="1" customWidth="1"/>
    <col min="3344" max="3581" width="9.109375" style="1"/>
    <col min="3582" max="3582" width="2.44140625" style="1" customWidth="1"/>
    <col min="3583" max="3583" width="39.5546875" style="1" customWidth="1"/>
    <col min="3584" max="3584" width="37.88671875" style="1" customWidth="1"/>
    <col min="3585" max="3585" width="18" style="1" customWidth="1"/>
    <col min="3586" max="3586" width="15" style="1" customWidth="1"/>
    <col min="3587" max="3587" width="27.5546875" style="1" customWidth="1"/>
    <col min="3588" max="3588" width="20.44140625" style="1" customWidth="1"/>
    <col min="3589" max="3589" width="15.44140625" style="1" bestFit="1" customWidth="1"/>
    <col min="3590" max="3591" width="14.44140625" style="1" bestFit="1" customWidth="1"/>
    <col min="3592" max="3592" width="14.33203125" style="1" bestFit="1" customWidth="1"/>
    <col min="3593" max="3593" width="17.33203125" style="1" customWidth="1"/>
    <col min="3594" max="3594" width="14.5546875" style="1" customWidth="1"/>
    <col min="3595" max="3595" width="12.5546875" style="1" bestFit="1" customWidth="1"/>
    <col min="3596" max="3596" width="12" style="1" bestFit="1" customWidth="1"/>
    <col min="3597" max="3597" width="11.44140625" style="1" customWidth="1"/>
    <col min="3598" max="3598" width="11.5546875" style="1" bestFit="1" customWidth="1"/>
    <col min="3599" max="3599" width="12" style="1" bestFit="1" customWidth="1"/>
    <col min="3600" max="3837" width="9.109375" style="1"/>
    <col min="3838" max="3838" width="2.44140625" style="1" customWidth="1"/>
    <col min="3839" max="3839" width="39.5546875" style="1" customWidth="1"/>
    <col min="3840" max="3840" width="37.88671875" style="1" customWidth="1"/>
    <col min="3841" max="3841" width="18" style="1" customWidth="1"/>
    <col min="3842" max="3842" width="15" style="1" customWidth="1"/>
    <col min="3843" max="3843" width="27.5546875" style="1" customWidth="1"/>
    <col min="3844" max="3844" width="20.44140625" style="1" customWidth="1"/>
    <col min="3845" max="3845" width="15.44140625" style="1" bestFit="1" customWidth="1"/>
    <col min="3846" max="3847" width="14.44140625" style="1" bestFit="1" customWidth="1"/>
    <col min="3848" max="3848" width="14.33203125" style="1" bestFit="1" customWidth="1"/>
    <col min="3849" max="3849" width="17.33203125" style="1" customWidth="1"/>
    <col min="3850" max="3850" width="14.5546875" style="1" customWidth="1"/>
    <col min="3851" max="3851" width="12.5546875" style="1" bestFit="1" customWidth="1"/>
    <col min="3852" max="3852" width="12" style="1" bestFit="1" customWidth="1"/>
    <col min="3853" max="3853" width="11.44140625" style="1" customWidth="1"/>
    <col min="3854" max="3854" width="11.5546875" style="1" bestFit="1" customWidth="1"/>
    <col min="3855" max="3855" width="12" style="1" bestFit="1" customWidth="1"/>
    <col min="3856" max="4093" width="9.109375" style="1"/>
    <col min="4094" max="4094" width="2.44140625" style="1" customWidth="1"/>
    <col min="4095" max="4095" width="39.5546875" style="1" customWidth="1"/>
    <col min="4096" max="4096" width="37.88671875" style="1" customWidth="1"/>
    <col min="4097" max="4097" width="18" style="1" customWidth="1"/>
    <col min="4098" max="4098" width="15" style="1" customWidth="1"/>
    <col min="4099" max="4099" width="27.5546875" style="1" customWidth="1"/>
    <col min="4100" max="4100" width="20.44140625" style="1" customWidth="1"/>
    <col min="4101" max="4101" width="15.44140625" style="1" bestFit="1" customWidth="1"/>
    <col min="4102" max="4103" width="14.44140625" style="1" bestFit="1" customWidth="1"/>
    <col min="4104" max="4104" width="14.33203125" style="1" bestFit="1" customWidth="1"/>
    <col min="4105" max="4105" width="17.33203125" style="1" customWidth="1"/>
    <col min="4106" max="4106" width="14.5546875" style="1" customWidth="1"/>
    <col min="4107" max="4107" width="12.5546875" style="1" bestFit="1" customWidth="1"/>
    <col min="4108" max="4108" width="12" style="1" bestFit="1" customWidth="1"/>
    <col min="4109" max="4109" width="11.44140625" style="1" customWidth="1"/>
    <col min="4110" max="4110" width="11.5546875" style="1" bestFit="1" customWidth="1"/>
    <col min="4111" max="4111" width="12" style="1" bestFit="1" customWidth="1"/>
    <col min="4112" max="4349" width="9.109375" style="1"/>
    <col min="4350" max="4350" width="2.44140625" style="1" customWidth="1"/>
    <col min="4351" max="4351" width="39.5546875" style="1" customWidth="1"/>
    <col min="4352" max="4352" width="37.88671875" style="1" customWidth="1"/>
    <col min="4353" max="4353" width="18" style="1" customWidth="1"/>
    <col min="4354" max="4354" width="15" style="1" customWidth="1"/>
    <col min="4355" max="4355" width="27.5546875" style="1" customWidth="1"/>
    <col min="4356" max="4356" width="20.44140625" style="1" customWidth="1"/>
    <col min="4357" max="4357" width="15.44140625" style="1" bestFit="1" customWidth="1"/>
    <col min="4358" max="4359" width="14.44140625" style="1" bestFit="1" customWidth="1"/>
    <col min="4360" max="4360" width="14.33203125" style="1" bestFit="1" customWidth="1"/>
    <col min="4361" max="4361" width="17.33203125" style="1" customWidth="1"/>
    <col min="4362" max="4362" width="14.5546875" style="1" customWidth="1"/>
    <col min="4363" max="4363" width="12.5546875" style="1" bestFit="1" customWidth="1"/>
    <col min="4364" max="4364" width="12" style="1" bestFit="1" customWidth="1"/>
    <col min="4365" max="4365" width="11.44140625" style="1" customWidth="1"/>
    <col min="4366" max="4366" width="11.5546875" style="1" bestFit="1" customWidth="1"/>
    <col min="4367" max="4367" width="12" style="1" bestFit="1" customWidth="1"/>
    <col min="4368" max="4605" width="9.109375" style="1"/>
    <col min="4606" max="4606" width="2.44140625" style="1" customWidth="1"/>
    <col min="4607" max="4607" width="39.5546875" style="1" customWidth="1"/>
    <col min="4608" max="4608" width="37.88671875" style="1" customWidth="1"/>
    <col min="4609" max="4609" width="18" style="1" customWidth="1"/>
    <col min="4610" max="4610" width="15" style="1" customWidth="1"/>
    <col min="4611" max="4611" width="27.5546875" style="1" customWidth="1"/>
    <col min="4612" max="4612" width="20.44140625" style="1" customWidth="1"/>
    <col min="4613" max="4613" width="15.44140625" style="1" bestFit="1" customWidth="1"/>
    <col min="4614" max="4615" width="14.44140625" style="1" bestFit="1" customWidth="1"/>
    <col min="4616" max="4616" width="14.33203125" style="1" bestFit="1" customWidth="1"/>
    <col min="4617" max="4617" width="17.33203125" style="1" customWidth="1"/>
    <col min="4618" max="4618" width="14.5546875" style="1" customWidth="1"/>
    <col min="4619" max="4619" width="12.5546875" style="1" bestFit="1" customWidth="1"/>
    <col min="4620" max="4620" width="12" style="1" bestFit="1" customWidth="1"/>
    <col min="4621" max="4621" width="11.44140625" style="1" customWidth="1"/>
    <col min="4622" max="4622" width="11.5546875" style="1" bestFit="1" customWidth="1"/>
    <col min="4623" max="4623" width="12" style="1" bestFit="1" customWidth="1"/>
    <col min="4624" max="4861" width="9.109375" style="1"/>
    <col min="4862" max="4862" width="2.44140625" style="1" customWidth="1"/>
    <col min="4863" max="4863" width="39.5546875" style="1" customWidth="1"/>
    <col min="4864" max="4864" width="37.88671875" style="1" customWidth="1"/>
    <col min="4865" max="4865" width="18" style="1" customWidth="1"/>
    <col min="4866" max="4866" width="15" style="1" customWidth="1"/>
    <col min="4867" max="4867" width="27.5546875" style="1" customWidth="1"/>
    <col min="4868" max="4868" width="20.44140625" style="1" customWidth="1"/>
    <col min="4869" max="4869" width="15.44140625" style="1" bestFit="1" customWidth="1"/>
    <col min="4870" max="4871" width="14.44140625" style="1" bestFit="1" customWidth="1"/>
    <col min="4872" max="4872" width="14.33203125" style="1" bestFit="1" customWidth="1"/>
    <col min="4873" max="4873" width="17.33203125" style="1" customWidth="1"/>
    <col min="4874" max="4874" width="14.5546875" style="1" customWidth="1"/>
    <col min="4875" max="4875" width="12.5546875" style="1" bestFit="1" customWidth="1"/>
    <col min="4876" max="4876" width="12" style="1" bestFit="1" customWidth="1"/>
    <col min="4877" max="4877" width="11.44140625" style="1" customWidth="1"/>
    <col min="4878" max="4878" width="11.5546875" style="1" bestFit="1" customWidth="1"/>
    <col min="4879" max="4879" width="12" style="1" bestFit="1" customWidth="1"/>
    <col min="4880" max="5117" width="9.109375" style="1"/>
    <col min="5118" max="5118" width="2.44140625" style="1" customWidth="1"/>
    <col min="5119" max="5119" width="39.5546875" style="1" customWidth="1"/>
    <col min="5120" max="5120" width="37.88671875" style="1" customWidth="1"/>
    <col min="5121" max="5121" width="18" style="1" customWidth="1"/>
    <col min="5122" max="5122" width="15" style="1" customWidth="1"/>
    <col min="5123" max="5123" width="27.5546875" style="1" customWidth="1"/>
    <col min="5124" max="5124" width="20.44140625" style="1" customWidth="1"/>
    <col min="5125" max="5125" width="15.44140625" style="1" bestFit="1" customWidth="1"/>
    <col min="5126" max="5127" width="14.44140625" style="1" bestFit="1" customWidth="1"/>
    <col min="5128" max="5128" width="14.33203125" style="1" bestFit="1" customWidth="1"/>
    <col min="5129" max="5129" width="17.33203125" style="1" customWidth="1"/>
    <col min="5130" max="5130" width="14.5546875" style="1" customWidth="1"/>
    <col min="5131" max="5131" width="12.5546875" style="1" bestFit="1" customWidth="1"/>
    <col min="5132" max="5132" width="12" style="1" bestFit="1" customWidth="1"/>
    <col min="5133" max="5133" width="11.44140625" style="1" customWidth="1"/>
    <col min="5134" max="5134" width="11.5546875" style="1" bestFit="1" customWidth="1"/>
    <col min="5135" max="5135" width="12" style="1" bestFit="1" customWidth="1"/>
    <col min="5136" max="5373" width="9.109375" style="1"/>
    <col min="5374" max="5374" width="2.44140625" style="1" customWidth="1"/>
    <col min="5375" max="5375" width="39.5546875" style="1" customWidth="1"/>
    <col min="5376" max="5376" width="37.88671875" style="1" customWidth="1"/>
    <col min="5377" max="5377" width="18" style="1" customWidth="1"/>
    <col min="5378" max="5378" width="15" style="1" customWidth="1"/>
    <col min="5379" max="5379" width="27.5546875" style="1" customWidth="1"/>
    <col min="5380" max="5380" width="20.44140625" style="1" customWidth="1"/>
    <col min="5381" max="5381" width="15.44140625" style="1" bestFit="1" customWidth="1"/>
    <col min="5382" max="5383" width="14.44140625" style="1" bestFit="1" customWidth="1"/>
    <col min="5384" max="5384" width="14.33203125" style="1" bestFit="1" customWidth="1"/>
    <col min="5385" max="5385" width="17.33203125" style="1" customWidth="1"/>
    <col min="5386" max="5386" width="14.5546875" style="1" customWidth="1"/>
    <col min="5387" max="5387" width="12.5546875" style="1" bestFit="1" customWidth="1"/>
    <col min="5388" max="5388" width="12" style="1" bestFit="1" customWidth="1"/>
    <col min="5389" max="5389" width="11.44140625" style="1" customWidth="1"/>
    <col min="5390" max="5390" width="11.5546875" style="1" bestFit="1" customWidth="1"/>
    <col min="5391" max="5391" width="12" style="1" bestFit="1" customWidth="1"/>
    <col min="5392" max="5629" width="9.109375" style="1"/>
    <col min="5630" max="5630" width="2.44140625" style="1" customWidth="1"/>
    <col min="5631" max="5631" width="39.5546875" style="1" customWidth="1"/>
    <col min="5632" max="5632" width="37.88671875" style="1" customWidth="1"/>
    <col min="5633" max="5633" width="18" style="1" customWidth="1"/>
    <col min="5634" max="5634" width="15" style="1" customWidth="1"/>
    <col min="5635" max="5635" width="27.5546875" style="1" customWidth="1"/>
    <col min="5636" max="5636" width="20.44140625" style="1" customWidth="1"/>
    <col min="5637" max="5637" width="15.44140625" style="1" bestFit="1" customWidth="1"/>
    <col min="5638" max="5639" width="14.44140625" style="1" bestFit="1" customWidth="1"/>
    <col min="5640" max="5640" width="14.33203125" style="1" bestFit="1" customWidth="1"/>
    <col min="5641" max="5641" width="17.33203125" style="1" customWidth="1"/>
    <col min="5642" max="5642" width="14.5546875" style="1" customWidth="1"/>
    <col min="5643" max="5643" width="12.5546875" style="1" bestFit="1" customWidth="1"/>
    <col min="5644" max="5644" width="12" style="1" bestFit="1" customWidth="1"/>
    <col min="5645" max="5645" width="11.44140625" style="1" customWidth="1"/>
    <col min="5646" max="5646" width="11.5546875" style="1" bestFit="1" customWidth="1"/>
    <col min="5647" max="5647" width="12" style="1" bestFit="1" customWidth="1"/>
    <col min="5648" max="5885" width="9.109375" style="1"/>
    <col min="5886" max="5886" width="2.44140625" style="1" customWidth="1"/>
    <col min="5887" max="5887" width="39.5546875" style="1" customWidth="1"/>
    <col min="5888" max="5888" width="37.88671875" style="1" customWidth="1"/>
    <col min="5889" max="5889" width="18" style="1" customWidth="1"/>
    <col min="5890" max="5890" width="15" style="1" customWidth="1"/>
    <col min="5891" max="5891" width="27.5546875" style="1" customWidth="1"/>
    <col min="5892" max="5892" width="20.44140625" style="1" customWidth="1"/>
    <col min="5893" max="5893" width="15.44140625" style="1" bestFit="1" customWidth="1"/>
    <col min="5894" max="5895" width="14.44140625" style="1" bestFit="1" customWidth="1"/>
    <col min="5896" max="5896" width="14.33203125" style="1" bestFit="1" customWidth="1"/>
    <col min="5897" max="5897" width="17.33203125" style="1" customWidth="1"/>
    <col min="5898" max="5898" width="14.5546875" style="1" customWidth="1"/>
    <col min="5899" max="5899" width="12.5546875" style="1" bestFit="1" customWidth="1"/>
    <col min="5900" max="5900" width="12" style="1" bestFit="1" customWidth="1"/>
    <col min="5901" max="5901" width="11.44140625" style="1" customWidth="1"/>
    <col min="5902" max="5902" width="11.5546875" style="1" bestFit="1" customWidth="1"/>
    <col min="5903" max="5903" width="12" style="1" bestFit="1" customWidth="1"/>
    <col min="5904" max="6141" width="9.109375" style="1"/>
    <col min="6142" max="6142" width="2.44140625" style="1" customWidth="1"/>
    <col min="6143" max="6143" width="39.5546875" style="1" customWidth="1"/>
    <col min="6144" max="6144" width="37.88671875" style="1" customWidth="1"/>
    <col min="6145" max="6145" width="18" style="1" customWidth="1"/>
    <col min="6146" max="6146" width="15" style="1" customWidth="1"/>
    <col min="6147" max="6147" width="27.5546875" style="1" customWidth="1"/>
    <col min="6148" max="6148" width="20.44140625" style="1" customWidth="1"/>
    <col min="6149" max="6149" width="15.44140625" style="1" bestFit="1" customWidth="1"/>
    <col min="6150" max="6151" width="14.44140625" style="1" bestFit="1" customWidth="1"/>
    <col min="6152" max="6152" width="14.33203125" style="1" bestFit="1" customWidth="1"/>
    <col min="6153" max="6153" width="17.33203125" style="1" customWidth="1"/>
    <col min="6154" max="6154" width="14.5546875" style="1" customWidth="1"/>
    <col min="6155" max="6155" width="12.5546875" style="1" bestFit="1" customWidth="1"/>
    <col min="6156" max="6156" width="12" style="1" bestFit="1" customWidth="1"/>
    <col min="6157" max="6157" width="11.44140625" style="1" customWidth="1"/>
    <col min="6158" max="6158" width="11.5546875" style="1" bestFit="1" customWidth="1"/>
    <col min="6159" max="6159" width="12" style="1" bestFit="1" customWidth="1"/>
    <col min="6160" max="6397" width="9.109375" style="1"/>
    <col min="6398" max="6398" width="2.44140625" style="1" customWidth="1"/>
    <col min="6399" max="6399" width="39.5546875" style="1" customWidth="1"/>
    <col min="6400" max="6400" width="37.88671875" style="1" customWidth="1"/>
    <col min="6401" max="6401" width="18" style="1" customWidth="1"/>
    <col min="6402" max="6402" width="15" style="1" customWidth="1"/>
    <col min="6403" max="6403" width="27.5546875" style="1" customWidth="1"/>
    <col min="6404" max="6404" width="20.44140625" style="1" customWidth="1"/>
    <col min="6405" max="6405" width="15.44140625" style="1" bestFit="1" customWidth="1"/>
    <col min="6406" max="6407" width="14.44140625" style="1" bestFit="1" customWidth="1"/>
    <col min="6408" max="6408" width="14.33203125" style="1" bestFit="1" customWidth="1"/>
    <col min="6409" max="6409" width="17.33203125" style="1" customWidth="1"/>
    <col min="6410" max="6410" width="14.5546875" style="1" customWidth="1"/>
    <col min="6411" max="6411" width="12.5546875" style="1" bestFit="1" customWidth="1"/>
    <col min="6412" max="6412" width="12" style="1" bestFit="1" customWidth="1"/>
    <col min="6413" max="6413" width="11.44140625" style="1" customWidth="1"/>
    <col min="6414" max="6414" width="11.5546875" style="1" bestFit="1" customWidth="1"/>
    <col min="6415" max="6415" width="12" style="1" bestFit="1" customWidth="1"/>
    <col min="6416" max="6653" width="9.109375" style="1"/>
    <col min="6654" max="6654" width="2.44140625" style="1" customWidth="1"/>
    <col min="6655" max="6655" width="39.5546875" style="1" customWidth="1"/>
    <col min="6656" max="6656" width="37.88671875" style="1" customWidth="1"/>
    <col min="6657" max="6657" width="18" style="1" customWidth="1"/>
    <col min="6658" max="6658" width="15" style="1" customWidth="1"/>
    <col min="6659" max="6659" width="27.5546875" style="1" customWidth="1"/>
    <col min="6660" max="6660" width="20.44140625" style="1" customWidth="1"/>
    <col min="6661" max="6661" width="15.44140625" style="1" bestFit="1" customWidth="1"/>
    <col min="6662" max="6663" width="14.44140625" style="1" bestFit="1" customWidth="1"/>
    <col min="6664" max="6664" width="14.33203125" style="1" bestFit="1" customWidth="1"/>
    <col min="6665" max="6665" width="17.33203125" style="1" customWidth="1"/>
    <col min="6666" max="6666" width="14.5546875" style="1" customWidth="1"/>
    <col min="6667" max="6667" width="12.5546875" style="1" bestFit="1" customWidth="1"/>
    <col min="6668" max="6668" width="12" style="1" bestFit="1" customWidth="1"/>
    <col min="6669" max="6669" width="11.44140625" style="1" customWidth="1"/>
    <col min="6670" max="6670" width="11.5546875" style="1" bestFit="1" customWidth="1"/>
    <col min="6671" max="6671" width="12" style="1" bestFit="1" customWidth="1"/>
    <col min="6672" max="6909" width="9.109375" style="1"/>
    <col min="6910" max="6910" width="2.44140625" style="1" customWidth="1"/>
    <col min="6911" max="6911" width="39.5546875" style="1" customWidth="1"/>
    <col min="6912" max="6912" width="37.88671875" style="1" customWidth="1"/>
    <col min="6913" max="6913" width="18" style="1" customWidth="1"/>
    <col min="6914" max="6914" width="15" style="1" customWidth="1"/>
    <col min="6915" max="6915" width="27.5546875" style="1" customWidth="1"/>
    <col min="6916" max="6916" width="20.44140625" style="1" customWidth="1"/>
    <col min="6917" max="6917" width="15.44140625" style="1" bestFit="1" customWidth="1"/>
    <col min="6918" max="6919" width="14.44140625" style="1" bestFit="1" customWidth="1"/>
    <col min="6920" max="6920" width="14.33203125" style="1" bestFit="1" customWidth="1"/>
    <col min="6921" max="6921" width="17.33203125" style="1" customWidth="1"/>
    <col min="6922" max="6922" width="14.5546875" style="1" customWidth="1"/>
    <col min="6923" max="6923" width="12.5546875" style="1" bestFit="1" customWidth="1"/>
    <col min="6924" max="6924" width="12" style="1" bestFit="1" customWidth="1"/>
    <col min="6925" max="6925" width="11.44140625" style="1" customWidth="1"/>
    <col min="6926" max="6926" width="11.5546875" style="1" bestFit="1" customWidth="1"/>
    <col min="6927" max="6927" width="12" style="1" bestFit="1" customWidth="1"/>
    <col min="6928" max="7165" width="9.109375" style="1"/>
    <col min="7166" max="7166" width="2.44140625" style="1" customWidth="1"/>
    <col min="7167" max="7167" width="39.5546875" style="1" customWidth="1"/>
    <col min="7168" max="7168" width="37.88671875" style="1" customWidth="1"/>
    <col min="7169" max="7169" width="18" style="1" customWidth="1"/>
    <col min="7170" max="7170" width="15" style="1" customWidth="1"/>
    <col min="7171" max="7171" width="27.5546875" style="1" customWidth="1"/>
    <col min="7172" max="7172" width="20.44140625" style="1" customWidth="1"/>
    <col min="7173" max="7173" width="15.44140625" style="1" bestFit="1" customWidth="1"/>
    <col min="7174" max="7175" width="14.44140625" style="1" bestFit="1" customWidth="1"/>
    <col min="7176" max="7176" width="14.33203125" style="1" bestFit="1" customWidth="1"/>
    <col min="7177" max="7177" width="17.33203125" style="1" customWidth="1"/>
    <col min="7178" max="7178" width="14.5546875" style="1" customWidth="1"/>
    <col min="7179" max="7179" width="12.5546875" style="1" bestFit="1" customWidth="1"/>
    <col min="7180" max="7180" width="12" style="1" bestFit="1" customWidth="1"/>
    <col min="7181" max="7181" width="11.44140625" style="1" customWidth="1"/>
    <col min="7182" max="7182" width="11.5546875" style="1" bestFit="1" customWidth="1"/>
    <col min="7183" max="7183" width="12" style="1" bestFit="1" customWidth="1"/>
    <col min="7184" max="7421" width="9.109375" style="1"/>
    <col min="7422" max="7422" width="2.44140625" style="1" customWidth="1"/>
    <col min="7423" max="7423" width="39.5546875" style="1" customWidth="1"/>
    <col min="7424" max="7424" width="37.88671875" style="1" customWidth="1"/>
    <col min="7425" max="7425" width="18" style="1" customWidth="1"/>
    <col min="7426" max="7426" width="15" style="1" customWidth="1"/>
    <col min="7427" max="7427" width="27.5546875" style="1" customWidth="1"/>
    <col min="7428" max="7428" width="20.44140625" style="1" customWidth="1"/>
    <col min="7429" max="7429" width="15.44140625" style="1" bestFit="1" customWidth="1"/>
    <col min="7430" max="7431" width="14.44140625" style="1" bestFit="1" customWidth="1"/>
    <col min="7432" max="7432" width="14.33203125" style="1" bestFit="1" customWidth="1"/>
    <col min="7433" max="7433" width="17.33203125" style="1" customWidth="1"/>
    <col min="7434" max="7434" width="14.5546875" style="1" customWidth="1"/>
    <col min="7435" max="7435" width="12.5546875" style="1" bestFit="1" customWidth="1"/>
    <col min="7436" max="7436" width="12" style="1" bestFit="1" customWidth="1"/>
    <col min="7437" max="7437" width="11.44140625" style="1" customWidth="1"/>
    <col min="7438" max="7438" width="11.5546875" style="1" bestFit="1" customWidth="1"/>
    <col min="7439" max="7439" width="12" style="1" bestFit="1" customWidth="1"/>
    <col min="7440" max="7677" width="9.109375" style="1"/>
    <col min="7678" max="7678" width="2.44140625" style="1" customWidth="1"/>
    <col min="7679" max="7679" width="39.5546875" style="1" customWidth="1"/>
    <col min="7680" max="7680" width="37.88671875" style="1" customWidth="1"/>
    <col min="7681" max="7681" width="18" style="1" customWidth="1"/>
    <col min="7682" max="7682" width="15" style="1" customWidth="1"/>
    <col min="7683" max="7683" width="27.5546875" style="1" customWidth="1"/>
    <col min="7684" max="7684" width="20.44140625" style="1" customWidth="1"/>
    <col min="7685" max="7685" width="15.44140625" style="1" bestFit="1" customWidth="1"/>
    <col min="7686" max="7687" width="14.44140625" style="1" bestFit="1" customWidth="1"/>
    <col min="7688" max="7688" width="14.33203125" style="1" bestFit="1" customWidth="1"/>
    <col min="7689" max="7689" width="17.33203125" style="1" customWidth="1"/>
    <col min="7690" max="7690" width="14.5546875" style="1" customWidth="1"/>
    <col min="7691" max="7691" width="12.5546875" style="1" bestFit="1" customWidth="1"/>
    <col min="7692" max="7692" width="12" style="1" bestFit="1" customWidth="1"/>
    <col min="7693" max="7693" width="11.44140625" style="1" customWidth="1"/>
    <col min="7694" max="7694" width="11.5546875" style="1" bestFit="1" customWidth="1"/>
    <col min="7695" max="7695" width="12" style="1" bestFit="1" customWidth="1"/>
    <col min="7696" max="7933" width="9.109375" style="1"/>
    <col min="7934" max="7934" width="2.44140625" style="1" customWidth="1"/>
    <col min="7935" max="7935" width="39.5546875" style="1" customWidth="1"/>
    <col min="7936" max="7936" width="37.88671875" style="1" customWidth="1"/>
    <col min="7937" max="7937" width="18" style="1" customWidth="1"/>
    <col min="7938" max="7938" width="15" style="1" customWidth="1"/>
    <col min="7939" max="7939" width="27.5546875" style="1" customWidth="1"/>
    <col min="7940" max="7940" width="20.44140625" style="1" customWidth="1"/>
    <col min="7941" max="7941" width="15.44140625" style="1" bestFit="1" customWidth="1"/>
    <col min="7942" max="7943" width="14.44140625" style="1" bestFit="1" customWidth="1"/>
    <col min="7944" max="7944" width="14.33203125" style="1" bestFit="1" customWidth="1"/>
    <col min="7945" max="7945" width="17.33203125" style="1" customWidth="1"/>
    <col min="7946" max="7946" width="14.5546875" style="1" customWidth="1"/>
    <col min="7947" max="7947" width="12.5546875" style="1" bestFit="1" customWidth="1"/>
    <col min="7948" max="7948" width="12" style="1" bestFit="1" customWidth="1"/>
    <col min="7949" max="7949" width="11.44140625" style="1" customWidth="1"/>
    <col min="7950" max="7950" width="11.5546875" style="1" bestFit="1" customWidth="1"/>
    <col min="7951" max="7951" width="12" style="1" bestFit="1" customWidth="1"/>
    <col min="7952" max="8189" width="9.109375" style="1"/>
    <col min="8190" max="8190" width="2.44140625" style="1" customWidth="1"/>
    <col min="8191" max="8191" width="39.5546875" style="1" customWidth="1"/>
    <col min="8192" max="8192" width="37.88671875" style="1" customWidth="1"/>
    <col min="8193" max="8193" width="18" style="1" customWidth="1"/>
    <col min="8194" max="8194" width="15" style="1" customWidth="1"/>
    <col min="8195" max="8195" width="27.5546875" style="1" customWidth="1"/>
    <col min="8196" max="8196" width="20.44140625" style="1" customWidth="1"/>
    <col min="8197" max="8197" width="15.44140625" style="1" bestFit="1" customWidth="1"/>
    <col min="8198" max="8199" width="14.44140625" style="1" bestFit="1" customWidth="1"/>
    <col min="8200" max="8200" width="14.33203125" style="1" bestFit="1" customWidth="1"/>
    <col min="8201" max="8201" width="17.33203125" style="1" customWidth="1"/>
    <col min="8202" max="8202" width="14.5546875" style="1" customWidth="1"/>
    <col min="8203" max="8203" width="12.5546875" style="1" bestFit="1" customWidth="1"/>
    <col min="8204" max="8204" width="12" style="1" bestFit="1" customWidth="1"/>
    <col min="8205" max="8205" width="11.44140625" style="1" customWidth="1"/>
    <col min="8206" max="8206" width="11.5546875" style="1" bestFit="1" customWidth="1"/>
    <col min="8207" max="8207" width="12" style="1" bestFit="1" customWidth="1"/>
    <col min="8208" max="8445" width="9.109375" style="1"/>
    <col min="8446" max="8446" width="2.44140625" style="1" customWidth="1"/>
    <col min="8447" max="8447" width="39.5546875" style="1" customWidth="1"/>
    <col min="8448" max="8448" width="37.88671875" style="1" customWidth="1"/>
    <col min="8449" max="8449" width="18" style="1" customWidth="1"/>
    <col min="8450" max="8450" width="15" style="1" customWidth="1"/>
    <col min="8451" max="8451" width="27.5546875" style="1" customWidth="1"/>
    <col min="8452" max="8452" width="20.44140625" style="1" customWidth="1"/>
    <col min="8453" max="8453" width="15.44140625" style="1" bestFit="1" customWidth="1"/>
    <col min="8454" max="8455" width="14.44140625" style="1" bestFit="1" customWidth="1"/>
    <col min="8456" max="8456" width="14.33203125" style="1" bestFit="1" customWidth="1"/>
    <col min="8457" max="8457" width="17.33203125" style="1" customWidth="1"/>
    <col min="8458" max="8458" width="14.5546875" style="1" customWidth="1"/>
    <col min="8459" max="8459" width="12.5546875" style="1" bestFit="1" customWidth="1"/>
    <col min="8460" max="8460" width="12" style="1" bestFit="1" customWidth="1"/>
    <col min="8461" max="8461" width="11.44140625" style="1" customWidth="1"/>
    <col min="8462" max="8462" width="11.5546875" style="1" bestFit="1" customWidth="1"/>
    <col min="8463" max="8463" width="12" style="1" bestFit="1" customWidth="1"/>
    <col min="8464" max="8701" width="9.109375" style="1"/>
    <col min="8702" max="8702" width="2.44140625" style="1" customWidth="1"/>
    <col min="8703" max="8703" width="39.5546875" style="1" customWidth="1"/>
    <col min="8704" max="8704" width="37.88671875" style="1" customWidth="1"/>
    <col min="8705" max="8705" width="18" style="1" customWidth="1"/>
    <col min="8706" max="8706" width="15" style="1" customWidth="1"/>
    <col min="8707" max="8707" width="27.5546875" style="1" customWidth="1"/>
    <col min="8708" max="8708" width="20.44140625" style="1" customWidth="1"/>
    <col min="8709" max="8709" width="15.44140625" style="1" bestFit="1" customWidth="1"/>
    <col min="8710" max="8711" width="14.44140625" style="1" bestFit="1" customWidth="1"/>
    <col min="8712" max="8712" width="14.33203125" style="1" bestFit="1" customWidth="1"/>
    <col min="8713" max="8713" width="17.33203125" style="1" customWidth="1"/>
    <col min="8714" max="8714" width="14.5546875" style="1" customWidth="1"/>
    <col min="8715" max="8715" width="12.5546875" style="1" bestFit="1" customWidth="1"/>
    <col min="8716" max="8716" width="12" style="1" bestFit="1" customWidth="1"/>
    <col min="8717" max="8717" width="11.44140625" style="1" customWidth="1"/>
    <col min="8718" max="8718" width="11.5546875" style="1" bestFit="1" customWidth="1"/>
    <col min="8719" max="8719" width="12" style="1" bestFit="1" customWidth="1"/>
    <col min="8720" max="8957" width="9.109375" style="1"/>
    <col min="8958" max="8958" width="2.44140625" style="1" customWidth="1"/>
    <col min="8959" max="8959" width="39.5546875" style="1" customWidth="1"/>
    <col min="8960" max="8960" width="37.88671875" style="1" customWidth="1"/>
    <col min="8961" max="8961" width="18" style="1" customWidth="1"/>
    <col min="8962" max="8962" width="15" style="1" customWidth="1"/>
    <col min="8963" max="8963" width="27.5546875" style="1" customWidth="1"/>
    <col min="8964" max="8964" width="20.44140625" style="1" customWidth="1"/>
    <col min="8965" max="8965" width="15.44140625" style="1" bestFit="1" customWidth="1"/>
    <col min="8966" max="8967" width="14.44140625" style="1" bestFit="1" customWidth="1"/>
    <col min="8968" max="8968" width="14.33203125" style="1" bestFit="1" customWidth="1"/>
    <col min="8969" max="8969" width="17.33203125" style="1" customWidth="1"/>
    <col min="8970" max="8970" width="14.5546875" style="1" customWidth="1"/>
    <col min="8971" max="8971" width="12.5546875" style="1" bestFit="1" customWidth="1"/>
    <col min="8972" max="8972" width="12" style="1" bestFit="1" customWidth="1"/>
    <col min="8973" max="8973" width="11.44140625" style="1" customWidth="1"/>
    <col min="8974" max="8974" width="11.5546875" style="1" bestFit="1" customWidth="1"/>
    <col min="8975" max="8975" width="12" style="1" bestFit="1" customWidth="1"/>
    <col min="8976" max="9213" width="9.109375" style="1"/>
    <col min="9214" max="9214" width="2.44140625" style="1" customWidth="1"/>
    <col min="9215" max="9215" width="39.5546875" style="1" customWidth="1"/>
    <col min="9216" max="9216" width="37.88671875" style="1" customWidth="1"/>
    <col min="9217" max="9217" width="18" style="1" customWidth="1"/>
    <col min="9218" max="9218" width="15" style="1" customWidth="1"/>
    <col min="9219" max="9219" width="27.5546875" style="1" customWidth="1"/>
    <col min="9220" max="9220" width="20.44140625" style="1" customWidth="1"/>
    <col min="9221" max="9221" width="15.44140625" style="1" bestFit="1" customWidth="1"/>
    <col min="9222" max="9223" width="14.44140625" style="1" bestFit="1" customWidth="1"/>
    <col min="9224" max="9224" width="14.33203125" style="1" bestFit="1" customWidth="1"/>
    <col min="9225" max="9225" width="17.33203125" style="1" customWidth="1"/>
    <col min="9226" max="9226" width="14.5546875" style="1" customWidth="1"/>
    <col min="9227" max="9227" width="12.5546875" style="1" bestFit="1" customWidth="1"/>
    <col min="9228" max="9228" width="12" style="1" bestFit="1" customWidth="1"/>
    <col min="9229" max="9229" width="11.44140625" style="1" customWidth="1"/>
    <col min="9230" max="9230" width="11.5546875" style="1" bestFit="1" customWidth="1"/>
    <col min="9231" max="9231" width="12" style="1" bestFit="1" customWidth="1"/>
    <col min="9232" max="9469" width="9.109375" style="1"/>
    <col min="9470" max="9470" width="2.44140625" style="1" customWidth="1"/>
    <col min="9471" max="9471" width="39.5546875" style="1" customWidth="1"/>
    <col min="9472" max="9472" width="37.88671875" style="1" customWidth="1"/>
    <col min="9473" max="9473" width="18" style="1" customWidth="1"/>
    <col min="9474" max="9474" width="15" style="1" customWidth="1"/>
    <col min="9475" max="9475" width="27.5546875" style="1" customWidth="1"/>
    <col min="9476" max="9476" width="20.44140625" style="1" customWidth="1"/>
    <col min="9477" max="9477" width="15.44140625" style="1" bestFit="1" customWidth="1"/>
    <col min="9478" max="9479" width="14.44140625" style="1" bestFit="1" customWidth="1"/>
    <col min="9480" max="9480" width="14.33203125" style="1" bestFit="1" customWidth="1"/>
    <col min="9481" max="9481" width="17.33203125" style="1" customWidth="1"/>
    <col min="9482" max="9482" width="14.5546875" style="1" customWidth="1"/>
    <col min="9483" max="9483" width="12.5546875" style="1" bestFit="1" customWidth="1"/>
    <col min="9484" max="9484" width="12" style="1" bestFit="1" customWidth="1"/>
    <col min="9485" max="9485" width="11.44140625" style="1" customWidth="1"/>
    <col min="9486" max="9486" width="11.5546875" style="1" bestFit="1" customWidth="1"/>
    <col min="9487" max="9487" width="12" style="1" bestFit="1" customWidth="1"/>
    <col min="9488" max="9725" width="9.109375" style="1"/>
    <col min="9726" max="9726" width="2.44140625" style="1" customWidth="1"/>
    <col min="9727" max="9727" width="39.5546875" style="1" customWidth="1"/>
    <col min="9728" max="9728" width="37.88671875" style="1" customWidth="1"/>
    <col min="9729" max="9729" width="18" style="1" customWidth="1"/>
    <col min="9730" max="9730" width="15" style="1" customWidth="1"/>
    <col min="9731" max="9731" width="27.5546875" style="1" customWidth="1"/>
    <col min="9732" max="9732" width="20.44140625" style="1" customWidth="1"/>
    <col min="9733" max="9733" width="15.44140625" style="1" bestFit="1" customWidth="1"/>
    <col min="9734" max="9735" width="14.44140625" style="1" bestFit="1" customWidth="1"/>
    <col min="9736" max="9736" width="14.33203125" style="1" bestFit="1" customWidth="1"/>
    <col min="9737" max="9737" width="17.33203125" style="1" customWidth="1"/>
    <col min="9738" max="9738" width="14.5546875" style="1" customWidth="1"/>
    <col min="9739" max="9739" width="12.5546875" style="1" bestFit="1" customWidth="1"/>
    <col min="9740" max="9740" width="12" style="1" bestFit="1" customWidth="1"/>
    <col min="9741" max="9741" width="11.44140625" style="1" customWidth="1"/>
    <col min="9742" max="9742" width="11.5546875" style="1" bestFit="1" customWidth="1"/>
    <col min="9743" max="9743" width="12" style="1" bestFit="1" customWidth="1"/>
    <col min="9744" max="9981" width="9.109375" style="1"/>
    <col min="9982" max="9982" width="2.44140625" style="1" customWidth="1"/>
    <col min="9983" max="9983" width="39.5546875" style="1" customWidth="1"/>
    <col min="9984" max="9984" width="37.88671875" style="1" customWidth="1"/>
    <col min="9985" max="9985" width="18" style="1" customWidth="1"/>
    <col min="9986" max="9986" width="15" style="1" customWidth="1"/>
    <col min="9987" max="9987" width="27.5546875" style="1" customWidth="1"/>
    <col min="9988" max="9988" width="20.44140625" style="1" customWidth="1"/>
    <col min="9989" max="9989" width="15.44140625" style="1" bestFit="1" customWidth="1"/>
    <col min="9990" max="9991" width="14.44140625" style="1" bestFit="1" customWidth="1"/>
    <col min="9992" max="9992" width="14.33203125" style="1" bestFit="1" customWidth="1"/>
    <col min="9993" max="9993" width="17.33203125" style="1" customWidth="1"/>
    <col min="9994" max="9994" width="14.5546875" style="1" customWidth="1"/>
    <col min="9995" max="9995" width="12.5546875" style="1" bestFit="1" customWidth="1"/>
    <col min="9996" max="9996" width="12" style="1" bestFit="1" customWidth="1"/>
    <col min="9997" max="9997" width="11.44140625" style="1" customWidth="1"/>
    <col min="9998" max="9998" width="11.5546875" style="1" bestFit="1" customWidth="1"/>
    <col min="9999" max="9999" width="12" style="1" bestFit="1" customWidth="1"/>
    <col min="10000" max="10237" width="9.109375" style="1"/>
    <col min="10238" max="10238" width="2.44140625" style="1" customWidth="1"/>
    <col min="10239" max="10239" width="39.5546875" style="1" customWidth="1"/>
    <col min="10240" max="10240" width="37.88671875" style="1" customWidth="1"/>
    <col min="10241" max="10241" width="18" style="1" customWidth="1"/>
    <col min="10242" max="10242" width="15" style="1" customWidth="1"/>
    <col min="10243" max="10243" width="27.5546875" style="1" customWidth="1"/>
    <col min="10244" max="10244" width="20.44140625" style="1" customWidth="1"/>
    <col min="10245" max="10245" width="15.44140625" style="1" bestFit="1" customWidth="1"/>
    <col min="10246" max="10247" width="14.44140625" style="1" bestFit="1" customWidth="1"/>
    <col min="10248" max="10248" width="14.33203125" style="1" bestFit="1" customWidth="1"/>
    <col min="10249" max="10249" width="17.33203125" style="1" customWidth="1"/>
    <col min="10250" max="10250" width="14.5546875" style="1" customWidth="1"/>
    <col min="10251" max="10251" width="12.5546875" style="1" bestFit="1" customWidth="1"/>
    <col min="10252" max="10252" width="12" style="1" bestFit="1" customWidth="1"/>
    <col min="10253" max="10253" width="11.44140625" style="1" customWidth="1"/>
    <col min="10254" max="10254" width="11.5546875" style="1" bestFit="1" customWidth="1"/>
    <col min="10255" max="10255" width="12" style="1" bestFit="1" customWidth="1"/>
    <col min="10256" max="10493" width="9.109375" style="1"/>
    <col min="10494" max="10494" width="2.44140625" style="1" customWidth="1"/>
    <col min="10495" max="10495" width="39.5546875" style="1" customWidth="1"/>
    <col min="10496" max="10496" width="37.88671875" style="1" customWidth="1"/>
    <col min="10497" max="10497" width="18" style="1" customWidth="1"/>
    <col min="10498" max="10498" width="15" style="1" customWidth="1"/>
    <col min="10499" max="10499" width="27.5546875" style="1" customWidth="1"/>
    <col min="10500" max="10500" width="20.44140625" style="1" customWidth="1"/>
    <col min="10501" max="10501" width="15.44140625" style="1" bestFit="1" customWidth="1"/>
    <col min="10502" max="10503" width="14.44140625" style="1" bestFit="1" customWidth="1"/>
    <col min="10504" max="10504" width="14.33203125" style="1" bestFit="1" customWidth="1"/>
    <col min="10505" max="10505" width="17.33203125" style="1" customWidth="1"/>
    <col min="10506" max="10506" width="14.5546875" style="1" customWidth="1"/>
    <col min="10507" max="10507" width="12.5546875" style="1" bestFit="1" customWidth="1"/>
    <col min="10508" max="10508" width="12" style="1" bestFit="1" customWidth="1"/>
    <col min="10509" max="10509" width="11.44140625" style="1" customWidth="1"/>
    <col min="10510" max="10510" width="11.5546875" style="1" bestFit="1" customWidth="1"/>
    <col min="10511" max="10511" width="12" style="1" bestFit="1" customWidth="1"/>
    <col min="10512" max="10749" width="9.109375" style="1"/>
    <col min="10750" max="10750" width="2.44140625" style="1" customWidth="1"/>
    <col min="10751" max="10751" width="39.5546875" style="1" customWidth="1"/>
    <col min="10752" max="10752" width="37.88671875" style="1" customWidth="1"/>
    <col min="10753" max="10753" width="18" style="1" customWidth="1"/>
    <col min="10754" max="10754" width="15" style="1" customWidth="1"/>
    <col min="10755" max="10755" width="27.5546875" style="1" customWidth="1"/>
    <col min="10756" max="10756" width="20.44140625" style="1" customWidth="1"/>
    <col min="10757" max="10757" width="15.44140625" style="1" bestFit="1" customWidth="1"/>
    <col min="10758" max="10759" width="14.44140625" style="1" bestFit="1" customWidth="1"/>
    <col min="10760" max="10760" width="14.33203125" style="1" bestFit="1" customWidth="1"/>
    <col min="10761" max="10761" width="17.33203125" style="1" customWidth="1"/>
    <col min="10762" max="10762" width="14.5546875" style="1" customWidth="1"/>
    <col min="10763" max="10763" width="12.5546875" style="1" bestFit="1" customWidth="1"/>
    <col min="10764" max="10764" width="12" style="1" bestFit="1" customWidth="1"/>
    <col min="10765" max="10765" width="11.44140625" style="1" customWidth="1"/>
    <col min="10766" max="10766" width="11.5546875" style="1" bestFit="1" customWidth="1"/>
    <col min="10767" max="10767" width="12" style="1" bestFit="1" customWidth="1"/>
    <col min="10768" max="11005" width="9.109375" style="1"/>
    <col min="11006" max="11006" width="2.44140625" style="1" customWidth="1"/>
    <col min="11007" max="11007" width="39.5546875" style="1" customWidth="1"/>
    <col min="11008" max="11008" width="37.88671875" style="1" customWidth="1"/>
    <col min="11009" max="11009" width="18" style="1" customWidth="1"/>
    <col min="11010" max="11010" width="15" style="1" customWidth="1"/>
    <col min="11011" max="11011" width="27.5546875" style="1" customWidth="1"/>
    <col min="11012" max="11012" width="20.44140625" style="1" customWidth="1"/>
    <col min="11013" max="11013" width="15.44140625" style="1" bestFit="1" customWidth="1"/>
    <col min="11014" max="11015" width="14.44140625" style="1" bestFit="1" customWidth="1"/>
    <col min="11016" max="11016" width="14.33203125" style="1" bestFit="1" customWidth="1"/>
    <col min="11017" max="11017" width="17.33203125" style="1" customWidth="1"/>
    <col min="11018" max="11018" width="14.5546875" style="1" customWidth="1"/>
    <col min="11019" max="11019" width="12.5546875" style="1" bestFit="1" customWidth="1"/>
    <col min="11020" max="11020" width="12" style="1" bestFit="1" customWidth="1"/>
    <col min="11021" max="11021" width="11.44140625" style="1" customWidth="1"/>
    <col min="11022" max="11022" width="11.5546875" style="1" bestFit="1" customWidth="1"/>
    <col min="11023" max="11023" width="12" style="1" bestFit="1" customWidth="1"/>
    <col min="11024" max="11261" width="9.109375" style="1"/>
    <col min="11262" max="11262" width="2.44140625" style="1" customWidth="1"/>
    <col min="11263" max="11263" width="39.5546875" style="1" customWidth="1"/>
    <col min="11264" max="11264" width="37.88671875" style="1" customWidth="1"/>
    <col min="11265" max="11265" width="18" style="1" customWidth="1"/>
    <col min="11266" max="11266" width="15" style="1" customWidth="1"/>
    <col min="11267" max="11267" width="27.5546875" style="1" customWidth="1"/>
    <col min="11268" max="11268" width="20.44140625" style="1" customWidth="1"/>
    <col min="11269" max="11269" width="15.44140625" style="1" bestFit="1" customWidth="1"/>
    <col min="11270" max="11271" width="14.44140625" style="1" bestFit="1" customWidth="1"/>
    <col min="11272" max="11272" width="14.33203125" style="1" bestFit="1" customWidth="1"/>
    <col min="11273" max="11273" width="17.33203125" style="1" customWidth="1"/>
    <col min="11274" max="11274" width="14.5546875" style="1" customWidth="1"/>
    <col min="11275" max="11275" width="12.5546875" style="1" bestFit="1" customWidth="1"/>
    <col min="11276" max="11276" width="12" style="1" bestFit="1" customWidth="1"/>
    <col min="11277" max="11277" width="11.44140625" style="1" customWidth="1"/>
    <col min="11278" max="11278" width="11.5546875" style="1" bestFit="1" customWidth="1"/>
    <col min="11279" max="11279" width="12" style="1" bestFit="1" customWidth="1"/>
    <col min="11280" max="11517" width="9.109375" style="1"/>
    <col min="11518" max="11518" width="2.44140625" style="1" customWidth="1"/>
    <col min="11519" max="11519" width="39.5546875" style="1" customWidth="1"/>
    <col min="11520" max="11520" width="37.88671875" style="1" customWidth="1"/>
    <col min="11521" max="11521" width="18" style="1" customWidth="1"/>
    <col min="11522" max="11522" width="15" style="1" customWidth="1"/>
    <col min="11523" max="11523" width="27.5546875" style="1" customWidth="1"/>
    <col min="11524" max="11524" width="20.44140625" style="1" customWidth="1"/>
    <col min="11525" max="11525" width="15.44140625" style="1" bestFit="1" customWidth="1"/>
    <col min="11526" max="11527" width="14.44140625" style="1" bestFit="1" customWidth="1"/>
    <col min="11528" max="11528" width="14.33203125" style="1" bestFit="1" customWidth="1"/>
    <col min="11529" max="11529" width="17.33203125" style="1" customWidth="1"/>
    <col min="11530" max="11530" width="14.5546875" style="1" customWidth="1"/>
    <col min="11531" max="11531" width="12.5546875" style="1" bestFit="1" customWidth="1"/>
    <col min="11532" max="11532" width="12" style="1" bestFit="1" customWidth="1"/>
    <col min="11533" max="11533" width="11.44140625" style="1" customWidth="1"/>
    <col min="11534" max="11534" width="11.5546875" style="1" bestFit="1" customWidth="1"/>
    <col min="11535" max="11535" width="12" style="1" bestFit="1" customWidth="1"/>
    <col min="11536" max="11773" width="9.109375" style="1"/>
    <col min="11774" max="11774" width="2.44140625" style="1" customWidth="1"/>
    <col min="11775" max="11775" width="39.5546875" style="1" customWidth="1"/>
    <col min="11776" max="11776" width="37.88671875" style="1" customWidth="1"/>
    <col min="11777" max="11777" width="18" style="1" customWidth="1"/>
    <col min="11778" max="11778" width="15" style="1" customWidth="1"/>
    <col min="11779" max="11779" width="27.5546875" style="1" customWidth="1"/>
    <col min="11780" max="11780" width="20.44140625" style="1" customWidth="1"/>
    <col min="11781" max="11781" width="15.44140625" style="1" bestFit="1" customWidth="1"/>
    <col min="11782" max="11783" width="14.44140625" style="1" bestFit="1" customWidth="1"/>
    <col min="11784" max="11784" width="14.33203125" style="1" bestFit="1" customWidth="1"/>
    <col min="11785" max="11785" width="17.33203125" style="1" customWidth="1"/>
    <col min="11786" max="11786" width="14.5546875" style="1" customWidth="1"/>
    <col min="11787" max="11787" width="12.5546875" style="1" bestFit="1" customWidth="1"/>
    <col min="11788" max="11788" width="12" style="1" bestFit="1" customWidth="1"/>
    <col min="11789" max="11789" width="11.44140625" style="1" customWidth="1"/>
    <col min="11790" max="11790" width="11.5546875" style="1" bestFit="1" customWidth="1"/>
    <col min="11791" max="11791" width="12" style="1" bestFit="1" customWidth="1"/>
    <col min="11792" max="12029" width="9.109375" style="1"/>
    <col min="12030" max="12030" width="2.44140625" style="1" customWidth="1"/>
    <col min="12031" max="12031" width="39.5546875" style="1" customWidth="1"/>
    <col min="12032" max="12032" width="37.88671875" style="1" customWidth="1"/>
    <col min="12033" max="12033" width="18" style="1" customWidth="1"/>
    <col min="12034" max="12034" width="15" style="1" customWidth="1"/>
    <col min="12035" max="12035" width="27.5546875" style="1" customWidth="1"/>
    <col min="12036" max="12036" width="20.44140625" style="1" customWidth="1"/>
    <col min="12037" max="12037" width="15.44140625" style="1" bestFit="1" customWidth="1"/>
    <col min="12038" max="12039" width="14.44140625" style="1" bestFit="1" customWidth="1"/>
    <col min="12040" max="12040" width="14.33203125" style="1" bestFit="1" customWidth="1"/>
    <col min="12041" max="12041" width="17.33203125" style="1" customWidth="1"/>
    <col min="12042" max="12042" width="14.5546875" style="1" customWidth="1"/>
    <col min="12043" max="12043" width="12.5546875" style="1" bestFit="1" customWidth="1"/>
    <col min="12044" max="12044" width="12" style="1" bestFit="1" customWidth="1"/>
    <col min="12045" max="12045" width="11.44140625" style="1" customWidth="1"/>
    <col min="12046" max="12046" width="11.5546875" style="1" bestFit="1" customWidth="1"/>
    <col min="12047" max="12047" width="12" style="1" bestFit="1" customWidth="1"/>
    <col min="12048" max="12285" width="9.109375" style="1"/>
    <col min="12286" max="12286" width="2.44140625" style="1" customWidth="1"/>
    <col min="12287" max="12287" width="39.5546875" style="1" customWidth="1"/>
    <col min="12288" max="12288" width="37.88671875" style="1" customWidth="1"/>
    <col min="12289" max="12289" width="18" style="1" customWidth="1"/>
    <col min="12290" max="12290" width="15" style="1" customWidth="1"/>
    <col min="12291" max="12291" width="27.5546875" style="1" customWidth="1"/>
    <col min="12292" max="12292" width="20.44140625" style="1" customWidth="1"/>
    <col min="12293" max="12293" width="15.44140625" style="1" bestFit="1" customWidth="1"/>
    <col min="12294" max="12295" width="14.44140625" style="1" bestFit="1" customWidth="1"/>
    <col min="12296" max="12296" width="14.33203125" style="1" bestFit="1" customWidth="1"/>
    <col min="12297" max="12297" width="17.33203125" style="1" customWidth="1"/>
    <col min="12298" max="12298" width="14.5546875" style="1" customWidth="1"/>
    <col min="12299" max="12299" width="12.5546875" style="1" bestFit="1" customWidth="1"/>
    <col min="12300" max="12300" width="12" style="1" bestFit="1" customWidth="1"/>
    <col min="12301" max="12301" width="11.44140625" style="1" customWidth="1"/>
    <col min="12302" max="12302" width="11.5546875" style="1" bestFit="1" customWidth="1"/>
    <col min="12303" max="12303" width="12" style="1" bestFit="1" customWidth="1"/>
    <col min="12304" max="12541" width="9.109375" style="1"/>
    <col min="12542" max="12542" width="2.44140625" style="1" customWidth="1"/>
    <col min="12543" max="12543" width="39.5546875" style="1" customWidth="1"/>
    <col min="12544" max="12544" width="37.88671875" style="1" customWidth="1"/>
    <col min="12545" max="12545" width="18" style="1" customWidth="1"/>
    <col min="12546" max="12546" width="15" style="1" customWidth="1"/>
    <col min="12547" max="12547" width="27.5546875" style="1" customWidth="1"/>
    <col min="12548" max="12548" width="20.44140625" style="1" customWidth="1"/>
    <col min="12549" max="12549" width="15.44140625" style="1" bestFit="1" customWidth="1"/>
    <col min="12550" max="12551" width="14.44140625" style="1" bestFit="1" customWidth="1"/>
    <col min="12552" max="12552" width="14.33203125" style="1" bestFit="1" customWidth="1"/>
    <col min="12553" max="12553" width="17.33203125" style="1" customWidth="1"/>
    <col min="12554" max="12554" width="14.5546875" style="1" customWidth="1"/>
    <col min="12555" max="12555" width="12.5546875" style="1" bestFit="1" customWidth="1"/>
    <col min="12556" max="12556" width="12" style="1" bestFit="1" customWidth="1"/>
    <col min="12557" max="12557" width="11.44140625" style="1" customWidth="1"/>
    <col min="12558" max="12558" width="11.5546875" style="1" bestFit="1" customWidth="1"/>
    <col min="12559" max="12559" width="12" style="1" bestFit="1" customWidth="1"/>
    <col min="12560" max="12797" width="9.109375" style="1"/>
    <col min="12798" max="12798" width="2.44140625" style="1" customWidth="1"/>
    <col min="12799" max="12799" width="39.5546875" style="1" customWidth="1"/>
    <col min="12800" max="12800" width="37.88671875" style="1" customWidth="1"/>
    <col min="12801" max="12801" width="18" style="1" customWidth="1"/>
    <col min="12802" max="12802" width="15" style="1" customWidth="1"/>
    <col min="12803" max="12803" width="27.5546875" style="1" customWidth="1"/>
    <col min="12804" max="12804" width="20.44140625" style="1" customWidth="1"/>
    <col min="12805" max="12805" width="15.44140625" style="1" bestFit="1" customWidth="1"/>
    <col min="12806" max="12807" width="14.44140625" style="1" bestFit="1" customWidth="1"/>
    <col min="12808" max="12808" width="14.33203125" style="1" bestFit="1" customWidth="1"/>
    <col min="12809" max="12809" width="17.33203125" style="1" customWidth="1"/>
    <col min="12810" max="12810" width="14.5546875" style="1" customWidth="1"/>
    <col min="12811" max="12811" width="12.5546875" style="1" bestFit="1" customWidth="1"/>
    <col min="12812" max="12812" width="12" style="1" bestFit="1" customWidth="1"/>
    <col min="12813" max="12813" width="11.44140625" style="1" customWidth="1"/>
    <col min="12814" max="12814" width="11.5546875" style="1" bestFit="1" customWidth="1"/>
    <col min="12815" max="12815" width="12" style="1" bestFit="1" customWidth="1"/>
    <col min="12816" max="13053" width="9.109375" style="1"/>
    <col min="13054" max="13054" width="2.44140625" style="1" customWidth="1"/>
    <col min="13055" max="13055" width="39.5546875" style="1" customWidth="1"/>
    <col min="13056" max="13056" width="37.88671875" style="1" customWidth="1"/>
    <col min="13057" max="13057" width="18" style="1" customWidth="1"/>
    <col min="13058" max="13058" width="15" style="1" customWidth="1"/>
    <col min="13059" max="13059" width="27.5546875" style="1" customWidth="1"/>
    <col min="13060" max="13060" width="20.44140625" style="1" customWidth="1"/>
    <col min="13061" max="13061" width="15.44140625" style="1" bestFit="1" customWidth="1"/>
    <col min="13062" max="13063" width="14.44140625" style="1" bestFit="1" customWidth="1"/>
    <col min="13064" max="13064" width="14.33203125" style="1" bestFit="1" customWidth="1"/>
    <col min="13065" max="13065" width="17.33203125" style="1" customWidth="1"/>
    <col min="13066" max="13066" width="14.5546875" style="1" customWidth="1"/>
    <col min="13067" max="13067" width="12.5546875" style="1" bestFit="1" customWidth="1"/>
    <col min="13068" max="13068" width="12" style="1" bestFit="1" customWidth="1"/>
    <col min="13069" max="13069" width="11.44140625" style="1" customWidth="1"/>
    <col min="13070" max="13070" width="11.5546875" style="1" bestFit="1" customWidth="1"/>
    <col min="13071" max="13071" width="12" style="1" bestFit="1" customWidth="1"/>
    <col min="13072" max="13309" width="9.109375" style="1"/>
    <col min="13310" max="13310" width="2.44140625" style="1" customWidth="1"/>
    <col min="13311" max="13311" width="39.5546875" style="1" customWidth="1"/>
    <col min="13312" max="13312" width="37.88671875" style="1" customWidth="1"/>
    <col min="13313" max="13313" width="18" style="1" customWidth="1"/>
    <col min="13314" max="13314" width="15" style="1" customWidth="1"/>
    <col min="13315" max="13315" width="27.5546875" style="1" customWidth="1"/>
    <col min="13316" max="13316" width="20.44140625" style="1" customWidth="1"/>
    <col min="13317" max="13317" width="15.44140625" style="1" bestFit="1" customWidth="1"/>
    <col min="13318" max="13319" width="14.44140625" style="1" bestFit="1" customWidth="1"/>
    <col min="13320" max="13320" width="14.33203125" style="1" bestFit="1" customWidth="1"/>
    <col min="13321" max="13321" width="17.33203125" style="1" customWidth="1"/>
    <col min="13322" max="13322" width="14.5546875" style="1" customWidth="1"/>
    <col min="13323" max="13323" width="12.5546875" style="1" bestFit="1" customWidth="1"/>
    <col min="13324" max="13324" width="12" style="1" bestFit="1" customWidth="1"/>
    <col min="13325" max="13325" width="11.44140625" style="1" customWidth="1"/>
    <col min="13326" max="13326" width="11.5546875" style="1" bestFit="1" customWidth="1"/>
    <col min="13327" max="13327" width="12" style="1" bestFit="1" customWidth="1"/>
    <col min="13328" max="13565" width="9.109375" style="1"/>
    <col min="13566" max="13566" width="2.44140625" style="1" customWidth="1"/>
    <col min="13567" max="13567" width="39.5546875" style="1" customWidth="1"/>
    <col min="13568" max="13568" width="37.88671875" style="1" customWidth="1"/>
    <col min="13569" max="13569" width="18" style="1" customWidth="1"/>
    <col min="13570" max="13570" width="15" style="1" customWidth="1"/>
    <col min="13571" max="13571" width="27.5546875" style="1" customWidth="1"/>
    <col min="13572" max="13572" width="20.44140625" style="1" customWidth="1"/>
    <col min="13573" max="13573" width="15.44140625" style="1" bestFit="1" customWidth="1"/>
    <col min="13574" max="13575" width="14.44140625" style="1" bestFit="1" customWidth="1"/>
    <col min="13576" max="13576" width="14.33203125" style="1" bestFit="1" customWidth="1"/>
    <col min="13577" max="13577" width="17.33203125" style="1" customWidth="1"/>
    <col min="13578" max="13578" width="14.5546875" style="1" customWidth="1"/>
    <col min="13579" max="13579" width="12.5546875" style="1" bestFit="1" customWidth="1"/>
    <col min="13580" max="13580" width="12" style="1" bestFit="1" customWidth="1"/>
    <col min="13581" max="13581" width="11.44140625" style="1" customWidth="1"/>
    <col min="13582" max="13582" width="11.5546875" style="1" bestFit="1" customWidth="1"/>
    <col min="13583" max="13583" width="12" style="1" bestFit="1" customWidth="1"/>
    <col min="13584" max="13821" width="9.109375" style="1"/>
    <col min="13822" max="13822" width="2.44140625" style="1" customWidth="1"/>
    <col min="13823" max="13823" width="39.5546875" style="1" customWidth="1"/>
    <col min="13824" max="13824" width="37.88671875" style="1" customWidth="1"/>
    <col min="13825" max="13825" width="18" style="1" customWidth="1"/>
    <col min="13826" max="13826" width="15" style="1" customWidth="1"/>
    <col min="13827" max="13827" width="27.5546875" style="1" customWidth="1"/>
    <col min="13828" max="13828" width="20.44140625" style="1" customWidth="1"/>
    <col min="13829" max="13829" width="15.44140625" style="1" bestFit="1" customWidth="1"/>
    <col min="13830" max="13831" width="14.44140625" style="1" bestFit="1" customWidth="1"/>
    <col min="13832" max="13832" width="14.33203125" style="1" bestFit="1" customWidth="1"/>
    <col min="13833" max="13833" width="17.33203125" style="1" customWidth="1"/>
    <col min="13834" max="13834" width="14.5546875" style="1" customWidth="1"/>
    <col min="13835" max="13835" width="12.5546875" style="1" bestFit="1" customWidth="1"/>
    <col min="13836" max="13836" width="12" style="1" bestFit="1" customWidth="1"/>
    <col min="13837" max="13837" width="11.44140625" style="1" customWidth="1"/>
    <col min="13838" max="13838" width="11.5546875" style="1" bestFit="1" customWidth="1"/>
    <col min="13839" max="13839" width="12" style="1" bestFit="1" customWidth="1"/>
    <col min="13840" max="14077" width="9.109375" style="1"/>
    <col min="14078" max="14078" width="2.44140625" style="1" customWidth="1"/>
    <col min="14079" max="14079" width="39.5546875" style="1" customWidth="1"/>
    <col min="14080" max="14080" width="37.88671875" style="1" customWidth="1"/>
    <col min="14081" max="14081" width="18" style="1" customWidth="1"/>
    <col min="14082" max="14082" width="15" style="1" customWidth="1"/>
    <col min="14083" max="14083" width="27.5546875" style="1" customWidth="1"/>
    <col min="14084" max="14084" width="20.44140625" style="1" customWidth="1"/>
    <col min="14085" max="14085" width="15.44140625" style="1" bestFit="1" customWidth="1"/>
    <col min="14086" max="14087" width="14.44140625" style="1" bestFit="1" customWidth="1"/>
    <col min="14088" max="14088" width="14.33203125" style="1" bestFit="1" customWidth="1"/>
    <col min="14089" max="14089" width="17.33203125" style="1" customWidth="1"/>
    <col min="14090" max="14090" width="14.5546875" style="1" customWidth="1"/>
    <col min="14091" max="14091" width="12.5546875" style="1" bestFit="1" customWidth="1"/>
    <col min="14092" max="14092" width="12" style="1" bestFit="1" customWidth="1"/>
    <col min="14093" max="14093" width="11.44140625" style="1" customWidth="1"/>
    <col min="14094" max="14094" width="11.5546875" style="1" bestFit="1" customWidth="1"/>
    <col min="14095" max="14095" width="12" style="1" bestFit="1" customWidth="1"/>
    <col min="14096" max="14333" width="9.109375" style="1"/>
    <col min="14334" max="14334" width="2.44140625" style="1" customWidth="1"/>
    <col min="14335" max="14335" width="39.5546875" style="1" customWidth="1"/>
    <col min="14336" max="14336" width="37.88671875" style="1" customWidth="1"/>
    <col min="14337" max="14337" width="18" style="1" customWidth="1"/>
    <col min="14338" max="14338" width="15" style="1" customWidth="1"/>
    <col min="14339" max="14339" width="27.5546875" style="1" customWidth="1"/>
    <col min="14340" max="14340" width="20.44140625" style="1" customWidth="1"/>
    <col min="14341" max="14341" width="15.44140625" style="1" bestFit="1" customWidth="1"/>
    <col min="14342" max="14343" width="14.44140625" style="1" bestFit="1" customWidth="1"/>
    <col min="14344" max="14344" width="14.33203125" style="1" bestFit="1" customWidth="1"/>
    <col min="14345" max="14345" width="17.33203125" style="1" customWidth="1"/>
    <col min="14346" max="14346" width="14.5546875" style="1" customWidth="1"/>
    <col min="14347" max="14347" width="12.5546875" style="1" bestFit="1" customWidth="1"/>
    <col min="14348" max="14348" width="12" style="1" bestFit="1" customWidth="1"/>
    <col min="14349" max="14349" width="11.44140625" style="1" customWidth="1"/>
    <col min="14350" max="14350" width="11.5546875" style="1" bestFit="1" customWidth="1"/>
    <col min="14351" max="14351" width="12" style="1" bestFit="1" customWidth="1"/>
    <col min="14352" max="14589" width="9.109375" style="1"/>
    <col min="14590" max="14590" width="2.44140625" style="1" customWidth="1"/>
    <col min="14591" max="14591" width="39.5546875" style="1" customWidth="1"/>
    <col min="14592" max="14592" width="37.88671875" style="1" customWidth="1"/>
    <col min="14593" max="14593" width="18" style="1" customWidth="1"/>
    <col min="14594" max="14594" width="15" style="1" customWidth="1"/>
    <col min="14595" max="14595" width="27.5546875" style="1" customWidth="1"/>
    <col min="14596" max="14596" width="20.44140625" style="1" customWidth="1"/>
    <col min="14597" max="14597" width="15.44140625" style="1" bestFit="1" customWidth="1"/>
    <col min="14598" max="14599" width="14.44140625" style="1" bestFit="1" customWidth="1"/>
    <col min="14600" max="14600" width="14.33203125" style="1" bestFit="1" customWidth="1"/>
    <col min="14601" max="14601" width="17.33203125" style="1" customWidth="1"/>
    <col min="14602" max="14602" width="14.5546875" style="1" customWidth="1"/>
    <col min="14603" max="14603" width="12.5546875" style="1" bestFit="1" customWidth="1"/>
    <col min="14604" max="14604" width="12" style="1" bestFit="1" customWidth="1"/>
    <col min="14605" max="14605" width="11.44140625" style="1" customWidth="1"/>
    <col min="14606" max="14606" width="11.5546875" style="1" bestFit="1" customWidth="1"/>
    <col min="14607" max="14607" width="12" style="1" bestFit="1" customWidth="1"/>
    <col min="14608" max="14845" width="9.109375" style="1"/>
    <col min="14846" max="14846" width="2.44140625" style="1" customWidth="1"/>
    <col min="14847" max="14847" width="39.5546875" style="1" customWidth="1"/>
    <col min="14848" max="14848" width="37.88671875" style="1" customWidth="1"/>
    <col min="14849" max="14849" width="18" style="1" customWidth="1"/>
    <col min="14850" max="14850" width="15" style="1" customWidth="1"/>
    <col min="14851" max="14851" width="27.5546875" style="1" customWidth="1"/>
    <col min="14852" max="14852" width="20.44140625" style="1" customWidth="1"/>
    <col min="14853" max="14853" width="15.44140625" style="1" bestFit="1" customWidth="1"/>
    <col min="14854" max="14855" width="14.44140625" style="1" bestFit="1" customWidth="1"/>
    <col min="14856" max="14856" width="14.33203125" style="1" bestFit="1" customWidth="1"/>
    <col min="14857" max="14857" width="17.33203125" style="1" customWidth="1"/>
    <col min="14858" max="14858" width="14.5546875" style="1" customWidth="1"/>
    <col min="14859" max="14859" width="12.5546875" style="1" bestFit="1" customWidth="1"/>
    <col min="14860" max="14860" width="12" style="1" bestFit="1" customWidth="1"/>
    <col min="14861" max="14861" width="11.44140625" style="1" customWidth="1"/>
    <col min="14862" max="14862" width="11.5546875" style="1" bestFit="1" customWidth="1"/>
    <col min="14863" max="14863" width="12" style="1" bestFit="1" customWidth="1"/>
    <col min="14864" max="15101" width="9.109375" style="1"/>
    <col min="15102" max="15102" width="2.44140625" style="1" customWidth="1"/>
    <col min="15103" max="15103" width="39.5546875" style="1" customWidth="1"/>
    <col min="15104" max="15104" width="37.88671875" style="1" customWidth="1"/>
    <col min="15105" max="15105" width="18" style="1" customWidth="1"/>
    <col min="15106" max="15106" width="15" style="1" customWidth="1"/>
    <col min="15107" max="15107" width="27.5546875" style="1" customWidth="1"/>
    <col min="15108" max="15108" width="20.44140625" style="1" customWidth="1"/>
    <col min="15109" max="15109" width="15.44140625" style="1" bestFit="1" customWidth="1"/>
    <col min="15110" max="15111" width="14.44140625" style="1" bestFit="1" customWidth="1"/>
    <col min="15112" max="15112" width="14.33203125" style="1" bestFit="1" customWidth="1"/>
    <col min="15113" max="15113" width="17.33203125" style="1" customWidth="1"/>
    <col min="15114" max="15114" width="14.5546875" style="1" customWidth="1"/>
    <col min="15115" max="15115" width="12.5546875" style="1" bestFit="1" customWidth="1"/>
    <col min="15116" max="15116" width="12" style="1" bestFit="1" customWidth="1"/>
    <col min="15117" max="15117" width="11.44140625" style="1" customWidth="1"/>
    <col min="15118" max="15118" width="11.5546875" style="1" bestFit="1" customWidth="1"/>
    <col min="15119" max="15119" width="12" style="1" bestFit="1" customWidth="1"/>
    <col min="15120" max="15357" width="9.109375" style="1"/>
    <col min="15358" max="15358" width="2.44140625" style="1" customWidth="1"/>
    <col min="15359" max="15359" width="39.5546875" style="1" customWidth="1"/>
    <col min="15360" max="15360" width="37.88671875" style="1" customWidth="1"/>
    <col min="15361" max="15361" width="18" style="1" customWidth="1"/>
    <col min="15362" max="15362" width="15" style="1" customWidth="1"/>
    <col min="15363" max="15363" width="27.5546875" style="1" customWidth="1"/>
    <col min="15364" max="15364" width="20.44140625" style="1" customWidth="1"/>
    <col min="15365" max="15365" width="15.44140625" style="1" bestFit="1" customWidth="1"/>
    <col min="15366" max="15367" width="14.44140625" style="1" bestFit="1" customWidth="1"/>
    <col min="15368" max="15368" width="14.33203125" style="1" bestFit="1" customWidth="1"/>
    <col min="15369" max="15369" width="17.33203125" style="1" customWidth="1"/>
    <col min="15370" max="15370" width="14.5546875" style="1" customWidth="1"/>
    <col min="15371" max="15371" width="12.5546875" style="1" bestFit="1" customWidth="1"/>
    <col min="15372" max="15372" width="12" style="1" bestFit="1" customWidth="1"/>
    <col min="15373" max="15373" width="11.44140625" style="1" customWidth="1"/>
    <col min="15374" max="15374" width="11.5546875" style="1" bestFit="1" customWidth="1"/>
    <col min="15375" max="15375" width="12" style="1" bestFit="1" customWidth="1"/>
    <col min="15376" max="15613" width="9.109375" style="1"/>
    <col min="15614" max="15614" width="2.44140625" style="1" customWidth="1"/>
    <col min="15615" max="15615" width="39.5546875" style="1" customWidth="1"/>
    <col min="15616" max="15616" width="37.88671875" style="1" customWidth="1"/>
    <col min="15617" max="15617" width="18" style="1" customWidth="1"/>
    <col min="15618" max="15618" width="15" style="1" customWidth="1"/>
    <col min="15619" max="15619" width="27.5546875" style="1" customWidth="1"/>
    <col min="15620" max="15620" width="20.44140625" style="1" customWidth="1"/>
    <col min="15621" max="15621" width="15.44140625" style="1" bestFit="1" customWidth="1"/>
    <col min="15622" max="15623" width="14.44140625" style="1" bestFit="1" customWidth="1"/>
    <col min="15624" max="15624" width="14.33203125" style="1" bestFit="1" customWidth="1"/>
    <col min="15625" max="15625" width="17.33203125" style="1" customWidth="1"/>
    <col min="15626" max="15626" width="14.5546875" style="1" customWidth="1"/>
    <col min="15627" max="15627" width="12.5546875" style="1" bestFit="1" customWidth="1"/>
    <col min="15628" max="15628" width="12" style="1" bestFit="1" customWidth="1"/>
    <col min="15629" max="15629" width="11.44140625" style="1" customWidth="1"/>
    <col min="15630" max="15630" width="11.5546875" style="1" bestFit="1" customWidth="1"/>
    <col min="15631" max="15631" width="12" style="1" bestFit="1" customWidth="1"/>
    <col min="15632" max="15869" width="9.109375" style="1"/>
    <col min="15870" max="15870" width="2.44140625" style="1" customWidth="1"/>
    <col min="15871" max="15871" width="39.5546875" style="1" customWidth="1"/>
    <col min="15872" max="15872" width="37.88671875" style="1" customWidth="1"/>
    <col min="15873" max="15873" width="18" style="1" customWidth="1"/>
    <col min="15874" max="15874" width="15" style="1" customWidth="1"/>
    <col min="15875" max="15875" width="27.5546875" style="1" customWidth="1"/>
    <col min="15876" max="15876" width="20.44140625" style="1" customWidth="1"/>
    <col min="15877" max="15877" width="15.44140625" style="1" bestFit="1" customWidth="1"/>
    <col min="15878" max="15879" width="14.44140625" style="1" bestFit="1" customWidth="1"/>
    <col min="15880" max="15880" width="14.33203125" style="1" bestFit="1" customWidth="1"/>
    <col min="15881" max="15881" width="17.33203125" style="1" customWidth="1"/>
    <col min="15882" max="15882" width="14.5546875" style="1" customWidth="1"/>
    <col min="15883" max="15883" width="12.5546875" style="1" bestFit="1" customWidth="1"/>
    <col min="15884" max="15884" width="12" style="1" bestFit="1" customWidth="1"/>
    <col min="15885" max="15885" width="11.44140625" style="1" customWidth="1"/>
    <col min="15886" max="15886" width="11.5546875" style="1" bestFit="1" customWidth="1"/>
    <col min="15887" max="15887" width="12" style="1" bestFit="1" customWidth="1"/>
    <col min="15888" max="16125" width="9.109375" style="1"/>
    <col min="16126" max="16126" width="2.44140625" style="1" customWidth="1"/>
    <col min="16127" max="16127" width="39.5546875" style="1" customWidth="1"/>
    <col min="16128" max="16128" width="37.88671875" style="1" customWidth="1"/>
    <col min="16129" max="16129" width="18" style="1" customWidth="1"/>
    <col min="16130" max="16130" width="15" style="1" customWidth="1"/>
    <col min="16131" max="16131" width="27.5546875" style="1" customWidth="1"/>
    <col min="16132" max="16132" width="20.44140625" style="1" customWidth="1"/>
    <col min="16133" max="16133" width="15.44140625" style="1" bestFit="1" customWidth="1"/>
    <col min="16134" max="16135" width="14.44140625" style="1" bestFit="1" customWidth="1"/>
    <col min="16136" max="16136" width="14.33203125" style="1" bestFit="1" customWidth="1"/>
    <col min="16137" max="16137" width="17.33203125" style="1" customWidth="1"/>
    <col min="16138" max="16138" width="14.5546875" style="1" customWidth="1"/>
    <col min="16139" max="16139" width="12.5546875" style="1" bestFit="1" customWidth="1"/>
    <col min="16140" max="16140" width="12" style="1" bestFit="1" customWidth="1"/>
    <col min="16141" max="16141" width="11.44140625" style="1" customWidth="1"/>
    <col min="16142" max="16142" width="11.5546875" style="1" bestFit="1" customWidth="1"/>
    <col min="16143" max="16143" width="12" style="1" bestFit="1" customWidth="1"/>
    <col min="16144" max="16384" width="9.109375" style="1"/>
  </cols>
  <sheetData>
    <row r="2" spans="2:11" ht="2.25" customHeight="1" x14ac:dyDescent="0.3">
      <c r="B2" s="211"/>
      <c r="C2" s="212"/>
    </row>
    <row r="5" spans="2:11" x14ac:dyDescent="0.3">
      <c r="B5" s="213" t="s">
        <v>122</v>
      </c>
      <c r="C5" s="213" t="s">
        <v>123</v>
      </c>
      <c r="D5" s="213" t="s">
        <v>124</v>
      </c>
      <c r="E5" s="213" t="s">
        <v>125</v>
      </c>
      <c r="F5" s="213" t="s">
        <v>120</v>
      </c>
      <c r="G5" s="213" t="s">
        <v>129</v>
      </c>
      <c r="H5" s="213" t="s">
        <v>126</v>
      </c>
      <c r="I5" s="213" t="s">
        <v>127</v>
      </c>
      <c r="J5" s="213" t="s">
        <v>99</v>
      </c>
      <c r="K5" s="214" t="s">
        <v>128</v>
      </c>
    </row>
    <row r="6" spans="2:11" x14ac:dyDescent="0.3">
      <c r="B6" s="215">
        <f>Case1_Detailed_MTC!S26</f>
        <v>0</v>
      </c>
      <c r="C6" s="215">
        <f>(Case1_Detailed_MTC!R26-Case1_Detailed_MTC!P26)/6</f>
        <v>0</v>
      </c>
      <c r="D6" s="215">
        <f>Case1_Detailed_MTC!T26</f>
        <v>0</v>
      </c>
      <c r="E6" s="215">
        <f>SQRT((Case1_Detailed_MTC!P26^2+Case1_Detailed_MTC!R26^2+Case1_Detailed_MTC!Q26^2-Case1_Detailed_MTC!P26*Case1_Detailed_MTC!R26-Case1_Detailed_MTC!P26*Case1_Detailed_MTC!Q26-Case1_Detailed_MTC!Q26*Case1_Detailed_MTC!R26)/18)</f>
        <v>0</v>
      </c>
      <c r="F6" s="215">
        <f>Case1_Detailed_MTC!U26</f>
        <v>0</v>
      </c>
      <c r="G6" s="215">
        <f>SQRT(0.185*(Case1_Detailed_MTC!P26-Case1_Detailed_MTC!U26)^2+0.63*(Case1_Detailed_MTC!Q26-Case1_Detailed_MTC!U26)^2+0.185*(Case1_Detailed_MTC!R26-Case1_Detailed_MTC!U26)^2)</f>
        <v>0</v>
      </c>
      <c r="H6" s="216">
        <f>Case1_Detailed_MTC!W26</f>
        <v>0</v>
      </c>
      <c r="I6" s="216">
        <f>IF(H6=B6,C6,IF(H6=D6,E6,IF(H6=F6,G6,"")))</f>
        <v>0</v>
      </c>
      <c r="J6" s="217">
        <f>Case1_Detailed_MTC!X26</f>
        <v>0</v>
      </c>
      <c r="K6" s="216">
        <f>IFERROR(_xlfn.NORM.INV(J6,H6,I6),0)</f>
        <v>0</v>
      </c>
    </row>
    <row r="7" spans="2:11" x14ac:dyDescent="0.3">
      <c r="B7" s="215">
        <f>Case1_Detailed_MTC!S27</f>
        <v>0</v>
      </c>
      <c r="C7" s="215">
        <f>(Case1_Detailed_MTC!R27-Case1_Detailed_MTC!P27)/6</f>
        <v>0</v>
      </c>
      <c r="D7" s="215">
        <f>Case1_Detailed_MTC!T27</f>
        <v>0</v>
      </c>
      <c r="E7" s="215">
        <f>SQRT((Case1_Detailed_MTC!P27^2+Case1_Detailed_MTC!R27^2+Case1_Detailed_MTC!Q27^2-Case1_Detailed_MTC!P27*Case1_Detailed_MTC!R27-Case1_Detailed_MTC!P27*Case1_Detailed_MTC!Q27-Case1_Detailed_MTC!Q27*Case1_Detailed_MTC!R27)/18)</f>
        <v>0</v>
      </c>
      <c r="F7" s="215">
        <f>Case1_Detailed_MTC!U27</f>
        <v>0</v>
      </c>
      <c r="G7" s="215">
        <f>SQRT(0.185*(Case1_Detailed_MTC!P27-Case1_Detailed_MTC!U27)^2+0.63*(Case1_Detailed_MTC!Q27-Case1_Detailed_MTC!U27)^2+0.185*(Case1_Detailed_MTC!R27-Case1_Detailed_MTC!U27)^2)</f>
        <v>0</v>
      </c>
      <c r="H7" s="216">
        <f>Case1_Detailed_MTC!W27</f>
        <v>0</v>
      </c>
      <c r="I7" s="216">
        <f t="shared" ref="I7:I20" si="0">IF(H7=B7,C7,IF(H7=D7,E7,IF(H7=F7,G7,"")))</f>
        <v>0</v>
      </c>
      <c r="J7" s="217">
        <f>Case1_Detailed_MTC!X27</f>
        <v>0</v>
      </c>
      <c r="K7" s="216">
        <f t="shared" ref="K7:K17" si="1">IFERROR(_xlfn.NORM.INV(J7,H7,I7),0)</f>
        <v>0</v>
      </c>
    </row>
    <row r="8" spans="2:11" x14ac:dyDescent="0.3">
      <c r="B8" s="215">
        <f>Case1_Detailed_MTC!S28</f>
        <v>0</v>
      </c>
      <c r="C8" s="215">
        <f>(Case1_Detailed_MTC!R28-Case1_Detailed_MTC!P28)/6</f>
        <v>0</v>
      </c>
      <c r="D8" s="215">
        <f>Case1_Detailed_MTC!T28</f>
        <v>0</v>
      </c>
      <c r="E8" s="215">
        <f>SQRT((Case1_Detailed_MTC!P28^2+Case1_Detailed_MTC!R28^2+Case1_Detailed_MTC!Q28^2-Case1_Detailed_MTC!P28*Case1_Detailed_MTC!R28-Case1_Detailed_MTC!P28*Case1_Detailed_MTC!Q28-Case1_Detailed_MTC!Q28*Case1_Detailed_MTC!R28)/18)</f>
        <v>0</v>
      </c>
      <c r="F8" s="215">
        <f>Case1_Detailed_MTC!U28</f>
        <v>0</v>
      </c>
      <c r="G8" s="215">
        <f>SQRT(0.185*(Case1_Detailed_MTC!P28-Case1_Detailed_MTC!U28)^2+0.63*(Case1_Detailed_MTC!Q28-Case1_Detailed_MTC!U28)^2+0.185*(Case1_Detailed_MTC!R28-Case1_Detailed_MTC!U28)^2)</f>
        <v>0</v>
      </c>
      <c r="H8" s="216">
        <f>Case1_Detailed_MTC!W28</f>
        <v>0</v>
      </c>
      <c r="I8" s="216">
        <f t="shared" si="0"/>
        <v>0</v>
      </c>
      <c r="J8" s="217">
        <f>Case1_Detailed_MTC!X28</f>
        <v>0</v>
      </c>
      <c r="K8" s="216">
        <f t="shared" si="1"/>
        <v>0</v>
      </c>
    </row>
    <row r="9" spans="2:11" x14ac:dyDescent="0.3">
      <c r="B9" s="215">
        <f>Case1_Detailed_MTC!S29</f>
        <v>0</v>
      </c>
      <c r="C9" s="215">
        <f>(Case1_Detailed_MTC!R29-Case1_Detailed_MTC!P29)/6</f>
        <v>0</v>
      </c>
      <c r="D9" s="215">
        <f>Case1_Detailed_MTC!T29</f>
        <v>0</v>
      </c>
      <c r="E9" s="215">
        <f>SQRT((Case1_Detailed_MTC!P29^2+Case1_Detailed_MTC!R29^2+Case1_Detailed_MTC!Q29^2-Case1_Detailed_MTC!P29*Case1_Detailed_MTC!R29-Case1_Detailed_MTC!P29*Case1_Detailed_MTC!Q29-Case1_Detailed_MTC!Q29*Case1_Detailed_MTC!R29)/18)</f>
        <v>0</v>
      </c>
      <c r="F9" s="215">
        <f>Case1_Detailed_MTC!U29</f>
        <v>0</v>
      </c>
      <c r="G9" s="215">
        <f>SQRT(0.185*(Case1_Detailed_MTC!P29-Case1_Detailed_MTC!U29)^2+0.63*(Case1_Detailed_MTC!Q29-Case1_Detailed_MTC!U29)^2+0.185*(Case1_Detailed_MTC!R29-Case1_Detailed_MTC!U29)^2)</f>
        <v>0</v>
      </c>
      <c r="H9" s="216">
        <f>Case1_Detailed_MTC!W29</f>
        <v>0</v>
      </c>
      <c r="I9" s="216">
        <f t="shared" si="0"/>
        <v>0</v>
      </c>
      <c r="J9" s="217">
        <f>Case1_Detailed_MTC!X29</f>
        <v>0</v>
      </c>
      <c r="K9" s="216">
        <f t="shared" si="1"/>
        <v>0</v>
      </c>
    </row>
    <row r="10" spans="2:11" x14ac:dyDescent="0.3">
      <c r="B10" s="215">
        <f>Case1_Detailed_MTC!S30</f>
        <v>0</v>
      </c>
      <c r="C10" s="215">
        <f>(Case1_Detailed_MTC!R30-Case1_Detailed_MTC!P30)/6</f>
        <v>0</v>
      </c>
      <c r="D10" s="215">
        <f>Case1_Detailed_MTC!T30</f>
        <v>0</v>
      </c>
      <c r="E10" s="215">
        <f>SQRT((Case1_Detailed_MTC!P30^2+Case1_Detailed_MTC!R30^2+Case1_Detailed_MTC!Q30^2-Case1_Detailed_MTC!P30*Case1_Detailed_MTC!R30-Case1_Detailed_MTC!P30*Case1_Detailed_MTC!Q30-Case1_Detailed_MTC!Q30*Case1_Detailed_MTC!R30)/18)</f>
        <v>0</v>
      </c>
      <c r="F10" s="215">
        <f>Case1_Detailed_MTC!U30</f>
        <v>0</v>
      </c>
      <c r="G10" s="215">
        <f>SQRT(0.185*(Case1_Detailed_MTC!P30-Case1_Detailed_MTC!U30)^2+0.63*(Case1_Detailed_MTC!Q30-Case1_Detailed_MTC!U30)^2+0.185*(Case1_Detailed_MTC!R30-Case1_Detailed_MTC!U30)^2)</f>
        <v>0</v>
      </c>
      <c r="H10" s="216">
        <f>Case1_Detailed_MTC!W30</f>
        <v>0</v>
      </c>
      <c r="I10" s="216">
        <f t="shared" si="0"/>
        <v>0</v>
      </c>
      <c r="J10" s="217">
        <f>Case1_Detailed_MTC!X30</f>
        <v>0</v>
      </c>
      <c r="K10" s="216">
        <f t="shared" si="1"/>
        <v>0</v>
      </c>
    </row>
    <row r="11" spans="2:11" x14ac:dyDescent="0.3">
      <c r="B11" s="215">
        <f>Case1_Detailed_MTC!S31</f>
        <v>0</v>
      </c>
      <c r="C11" s="215">
        <f>(Case1_Detailed_MTC!R31-Case1_Detailed_MTC!P31)/6</f>
        <v>0</v>
      </c>
      <c r="D11" s="215">
        <f>Case1_Detailed_MTC!T31</f>
        <v>0</v>
      </c>
      <c r="E11" s="215">
        <f>SQRT((Case1_Detailed_MTC!P31^2+Case1_Detailed_MTC!R31^2+Case1_Detailed_MTC!Q31^2-Case1_Detailed_MTC!P31*Case1_Detailed_MTC!R31-Case1_Detailed_MTC!P31*Case1_Detailed_MTC!Q31-Case1_Detailed_MTC!Q31*Case1_Detailed_MTC!R31)/18)</f>
        <v>0</v>
      </c>
      <c r="F11" s="215">
        <f>Case1_Detailed_MTC!U31</f>
        <v>0</v>
      </c>
      <c r="G11" s="215">
        <f>SQRT(0.185*(Case1_Detailed_MTC!P31-Case1_Detailed_MTC!U31)^2+0.63*(Case1_Detailed_MTC!Q31-Case1_Detailed_MTC!U31)^2+0.185*(Case1_Detailed_MTC!R31-Case1_Detailed_MTC!U31)^2)</f>
        <v>0</v>
      </c>
      <c r="H11" s="216">
        <f>Case1_Detailed_MTC!W31</f>
        <v>0</v>
      </c>
      <c r="I11" s="216">
        <f t="shared" si="0"/>
        <v>0</v>
      </c>
      <c r="J11" s="217">
        <f>Case1_Detailed_MTC!X31</f>
        <v>0</v>
      </c>
      <c r="K11" s="216">
        <f t="shared" si="1"/>
        <v>0</v>
      </c>
    </row>
    <row r="12" spans="2:11" x14ac:dyDescent="0.3">
      <c r="B12" s="215">
        <f>Case1_Detailed_MTC!S32</f>
        <v>0</v>
      </c>
      <c r="C12" s="215">
        <f>(Case1_Detailed_MTC!R32-Case1_Detailed_MTC!P32)/6</f>
        <v>0</v>
      </c>
      <c r="D12" s="215">
        <f>Case1_Detailed_MTC!T32</f>
        <v>0</v>
      </c>
      <c r="E12" s="215">
        <f>SQRT((Case1_Detailed_MTC!P32^2+Case1_Detailed_MTC!R32^2+Case1_Detailed_MTC!Q32^2-Case1_Detailed_MTC!P32*Case1_Detailed_MTC!R32-Case1_Detailed_MTC!P32*Case1_Detailed_MTC!Q32-Case1_Detailed_MTC!Q32*Case1_Detailed_MTC!R32)/18)</f>
        <v>0</v>
      </c>
      <c r="F12" s="215">
        <f>Case1_Detailed_MTC!U32</f>
        <v>0</v>
      </c>
      <c r="G12" s="215">
        <f>SQRT(0.185*(Case1_Detailed_MTC!P32-Case1_Detailed_MTC!U32)^2+0.63*(Case1_Detailed_MTC!Q32-Case1_Detailed_MTC!U32)^2+0.185*(Case1_Detailed_MTC!R32-Case1_Detailed_MTC!U32)^2)</f>
        <v>0</v>
      </c>
      <c r="H12" s="216">
        <f>Case1_Detailed_MTC!W32</f>
        <v>0</v>
      </c>
      <c r="I12" s="216">
        <f t="shared" si="0"/>
        <v>0</v>
      </c>
      <c r="J12" s="217">
        <f>Case1_Detailed_MTC!X32</f>
        <v>0</v>
      </c>
      <c r="K12" s="216">
        <f t="shared" si="1"/>
        <v>0</v>
      </c>
    </row>
    <row r="13" spans="2:11" x14ac:dyDescent="0.3">
      <c r="B13" s="215">
        <f>Case1_Detailed_MTC!S33</f>
        <v>0</v>
      </c>
      <c r="C13" s="215">
        <f>(Case1_Detailed_MTC!R33-Case1_Detailed_MTC!P33)/6</f>
        <v>0</v>
      </c>
      <c r="D13" s="215">
        <f>Case1_Detailed_MTC!T33</f>
        <v>0</v>
      </c>
      <c r="E13" s="215">
        <f>SQRT((Case1_Detailed_MTC!P33^2+Case1_Detailed_MTC!R33^2+Case1_Detailed_MTC!Q33^2-Case1_Detailed_MTC!P33*Case1_Detailed_MTC!R33-Case1_Detailed_MTC!P33*Case1_Detailed_MTC!Q33-Case1_Detailed_MTC!Q33*Case1_Detailed_MTC!R33)/18)</f>
        <v>0</v>
      </c>
      <c r="F13" s="215">
        <f>Case1_Detailed_MTC!U33</f>
        <v>0</v>
      </c>
      <c r="G13" s="215">
        <f>SQRT(0.185*(Case1_Detailed_MTC!P33-Case1_Detailed_MTC!U33)^2+0.63*(Case1_Detailed_MTC!Q33-Case1_Detailed_MTC!U33)^2+0.185*(Case1_Detailed_MTC!R33-Case1_Detailed_MTC!U33)^2)</f>
        <v>0</v>
      </c>
      <c r="H13" s="216">
        <f>Case1_Detailed_MTC!W33</f>
        <v>0</v>
      </c>
      <c r="I13" s="216">
        <f t="shared" si="0"/>
        <v>0</v>
      </c>
      <c r="J13" s="217">
        <f>Case1_Detailed_MTC!X33</f>
        <v>0</v>
      </c>
      <c r="K13" s="216">
        <f t="shared" si="1"/>
        <v>0</v>
      </c>
    </row>
    <row r="14" spans="2:11" x14ac:dyDescent="0.3">
      <c r="B14" s="215">
        <f>Case1_Detailed_MTC!S34</f>
        <v>0</v>
      </c>
      <c r="C14" s="215">
        <f>(Case1_Detailed_MTC!R34-Case1_Detailed_MTC!P34)/6</f>
        <v>0</v>
      </c>
      <c r="D14" s="215">
        <f>Case1_Detailed_MTC!T34</f>
        <v>0</v>
      </c>
      <c r="E14" s="215">
        <f>SQRT((Case1_Detailed_MTC!P34^2+Case1_Detailed_MTC!R34^2+Case1_Detailed_MTC!Q34^2-Case1_Detailed_MTC!P34*Case1_Detailed_MTC!R34-Case1_Detailed_MTC!P34*Case1_Detailed_MTC!Q34-Case1_Detailed_MTC!Q34*Case1_Detailed_MTC!R34)/18)</f>
        <v>0</v>
      </c>
      <c r="F14" s="215">
        <f>Case1_Detailed_MTC!U34</f>
        <v>0</v>
      </c>
      <c r="G14" s="215">
        <f>SQRT(0.185*(Case1_Detailed_MTC!P34-Case1_Detailed_MTC!U34)^2+0.63*(Case1_Detailed_MTC!Q34-Case1_Detailed_MTC!U34)^2+0.185*(Case1_Detailed_MTC!R34-Case1_Detailed_MTC!U34)^2)</f>
        <v>0</v>
      </c>
      <c r="H14" s="216">
        <f>Case1_Detailed_MTC!W34</f>
        <v>0</v>
      </c>
      <c r="I14" s="216">
        <f t="shared" si="0"/>
        <v>0</v>
      </c>
      <c r="J14" s="217">
        <f>Case1_Detailed_MTC!X34</f>
        <v>0</v>
      </c>
      <c r="K14" s="216">
        <f t="shared" si="1"/>
        <v>0</v>
      </c>
    </row>
    <row r="15" spans="2:11" x14ac:dyDescent="0.3">
      <c r="B15" s="215">
        <f>Case1_Detailed_MTC!S35</f>
        <v>0</v>
      </c>
      <c r="C15" s="215">
        <f>(Case1_Detailed_MTC!R35-Case1_Detailed_MTC!P35)/6</f>
        <v>0</v>
      </c>
      <c r="D15" s="215">
        <f>Case1_Detailed_MTC!T35</f>
        <v>0</v>
      </c>
      <c r="E15" s="215">
        <f>SQRT((Case1_Detailed_MTC!P35^2+Case1_Detailed_MTC!R35^2+Case1_Detailed_MTC!Q35^2-Case1_Detailed_MTC!P35*Case1_Detailed_MTC!R35-Case1_Detailed_MTC!P35*Case1_Detailed_MTC!Q35-Case1_Detailed_MTC!Q35*Case1_Detailed_MTC!R35)/18)</f>
        <v>0</v>
      </c>
      <c r="F15" s="215">
        <f>Case1_Detailed_MTC!U35</f>
        <v>0</v>
      </c>
      <c r="G15" s="215">
        <f>SQRT(0.185*(Case1_Detailed_MTC!P35-Case1_Detailed_MTC!U35)^2+0.63*(Case1_Detailed_MTC!Q35-Case1_Detailed_MTC!U35)^2+0.185*(Case1_Detailed_MTC!R35-Case1_Detailed_MTC!U35)^2)</f>
        <v>0</v>
      </c>
      <c r="H15" s="216">
        <f>Case1_Detailed_MTC!W35</f>
        <v>0</v>
      </c>
      <c r="I15" s="216">
        <f t="shared" si="0"/>
        <v>0</v>
      </c>
      <c r="J15" s="217">
        <f>Case1_Detailed_MTC!X35</f>
        <v>0</v>
      </c>
      <c r="K15" s="216">
        <f t="shared" si="1"/>
        <v>0</v>
      </c>
    </row>
    <row r="16" spans="2:11" x14ac:dyDescent="0.3">
      <c r="B16" s="215">
        <f>Case1_Detailed_MTC!S36</f>
        <v>0</v>
      </c>
      <c r="C16" s="215">
        <f>(Case1_Detailed_MTC!R36-Case1_Detailed_MTC!P36)/6</f>
        <v>0</v>
      </c>
      <c r="D16" s="215">
        <f>Case1_Detailed_MTC!T36</f>
        <v>0</v>
      </c>
      <c r="E16" s="215">
        <f>SQRT((Case1_Detailed_MTC!P36^2+Case1_Detailed_MTC!R36^2+Case1_Detailed_MTC!Q36^2-Case1_Detailed_MTC!P36*Case1_Detailed_MTC!R36-Case1_Detailed_MTC!P36*Case1_Detailed_MTC!Q36-Case1_Detailed_MTC!Q36*Case1_Detailed_MTC!R36)/18)</f>
        <v>0</v>
      </c>
      <c r="F16" s="215">
        <f>Case1_Detailed_MTC!U36</f>
        <v>0</v>
      </c>
      <c r="G16" s="215">
        <f>SQRT(0.185*(Case1_Detailed_MTC!P36-Case1_Detailed_MTC!U36)^2+0.63*(Case1_Detailed_MTC!Q36-Case1_Detailed_MTC!U36)^2+0.185*(Case1_Detailed_MTC!R36-Case1_Detailed_MTC!U36)^2)</f>
        <v>0</v>
      </c>
      <c r="H16" s="216">
        <f>Case1_Detailed_MTC!W36</f>
        <v>0</v>
      </c>
      <c r="I16" s="216">
        <f t="shared" si="0"/>
        <v>0</v>
      </c>
      <c r="J16" s="217">
        <f>Case1_Detailed_MTC!X36</f>
        <v>0</v>
      </c>
      <c r="K16" s="216">
        <f t="shared" si="1"/>
        <v>0</v>
      </c>
    </row>
    <row r="17" spans="2:11" x14ac:dyDescent="0.3">
      <c r="B17" s="215">
        <f>Case1_Detailed_MTC!S37</f>
        <v>0</v>
      </c>
      <c r="C17" s="215">
        <f>(Case1_Detailed_MTC!R37-Case1_Detailed_MTC!P37)/6</f>
        <v>0</v>
      </c>
      <c r="D17" s="215">
        <f>Case1_Detailed_MTC!T37</f>
        <v>0</v>
      </c>
      <c r="E17" s="215">
        <f>SQRT((Case1_Detailed_MTC!P37^2+Case1_Detailed_MTC!R37^2+Case1_Detailed_MTC!Q37^2-Case1_Detailed_MTC!P37*Case1_Detailed_MTC!R37-Case1_Detailed_MTC!P37*Case1_Detailed_MTC!Q37-Case1_Detailed_MTC!Q37*Case1_Detailed_MTC!R37)/18)</f>
        <v>0</v>
      </c>
      <c r="F17" s="215">
        <f>Case1_Detailed_MTC!U37</f>
        <v>0</v>
      </c>
      <c r="G17" s="215">
        <f>SQRT(0.185*(Case1_Detailed_MTC!P37-Case1_Detailed_MTC!U37)^2+0.63*(Case1_Detailed_MTC!Q37-Case1_Detailed_MTC!U37)^2+0.185*(Case1_Detailed_MTC!R37-Case1_Detailed_MTC!U37)^2)</f>
        <v>0</v>
      </c>
      <c r="H17" s="216">
        <f>Case1_Detailed_MTC!W37</f>
        <v>0</v>
      </c>
      <c r="I17" s="216">
        <f t="shared" si="0"/>
        <v>0</v>
      </c>
      <c r="J17" s="217">
        <f>Case1_Detailed_MTC!X37</f>
        <v>0</v>
      </c>
      <c r="K17" s="216">
        <f t="shared" si="1"/>
        <v>0</v>
      </c>
    </row>
    <row r="18" spans="2:11" x14ac:dyDescent="0.3">
      <c r="B18" s="215">
        <f>Case1_Detailed_MTC!S38</f>
        <v>90333.333333333328</v>
      </c>
      <c r="C18" s="215">
        <f>(Case1_Detailed_MTC!R38-Case1_Detailed_MTC!P38)/6</f>
        <v>12333.333333333334</v>
      </c>
      <c r="D18" s="215">
        <f>Case1_Detailed_MTC!T38</f>
        <v>94666.666666666672</v>
      </c>
      <c r="E18" s="215">
        <f>SQRT((Case1_Detailed_MTC!P38^2+Case1_Detailed_MTC!R38^2+Case1_Detailed_MTC!Q38^2-Case1_Detailed_MTC!P38*Case1_Detailed_MTC!R38-Case1_Detailed_MTC!P38*Case1_Detailed_MTC!Q38-Case1_Detailed_MTC!Q38*Case1_Detailed_MTC!R38)/18)</f>
        <v>15412.837362262522</v>
      </c>
      <c r="F18" s="215">
        <f>Case1_Detailed_MTC!U38</f>
        <v>90810</v>
      </c>
      <c r="G18" s="215">
        <f>SQRT(0.185*(Case1_Detailed_MTC!P38-Case1_Detailed_MTC!U38)^2+0.63*(Case1_Detailed_MTC!Q38-Case1_Detailed_MTC!U38)^2+0.185*(Case1_Detailed_MTC!R38-Case1_Detailed_MTC!U38)^2)</f>
        <v>23365.014444677752</v>
      </c>
      <c r="H18" s="216">
        <f>Case1_Detailed_MTC!W38</f>
        <v>90333.333333333328</v>
      </c>
      <c r="I18" s="216">
        <f t="shared" si="0"/>
        <v>12333.333333333334</v>
      </c>
      <c r="J18" s="217">
        <f>Case1_Detailed_MTC!X38</f>
        <v>0.75</v>
      </c>
      <c r="K18" s="216">
        <f t="shared" ref="K18" si="2">_xlfn.NORM.INV(J18,H18,I18)</f>
        <v>98652.040252418345</v>
      </c>
    </row>
    <row r="19" spans="2:11" x14ac:dyDescent="0.3">
      <c r="B19" s="215">
        <f>Case1_Detailed_MTC!S39</f>
        <v>90333.333333333328</v>
      </c>
      <c r="C19" s="215">
        <f>(Case1_Detailed_MTC!R39-Case1_Detailed_MTC!P39)/6</f>
        <v>12333.333333333334</v>
      </c>
      <c r="D19" s="215">
        <f>Case1_Detailed_MTC!T39</f>
        <v>94666.666666666672</v>
      </c>
      <c r="E19" s="215">
        <f>SQRT((Case1_Detailed_MTC!P39^2+Case1_Detailed_MTC!R39^2+Case1_Detailed_MTC!Q39^2-Case1_Detailed_MTC!P39*Case1_Detailed_MTC!R39-Case1_Detailed_MTC!P39*Case1_Detailed_MTC!Q39-Case1_Detailed_MTC!Q39*Case1_Detailed_MTC!R39)/18)</f>
        <v>15412.837362262522</v>
      </c>
      <c r="F19" s="215">
        <f>Case1_Detailed_MTC!U39</f>
        <v>90810</v>
      </c>
      <c r="G19" s="215">
        <f>SQRT(0.185*(Case1_Detailed_MTC!P39-Case1_Detailed_MTC!U39)^2+0.63*(Case1_Detailed_MTC!Q39-Case1_Detailed_MTC!U39)^2+0.185*(Case1_Detailed_MTC!R39-Case1_Detailed_MTC!U39)^2)</f>
        <v>23365.014444677752</v>
      </c>
      <c r="H19" s="216">
        <f>Case1_Detailed_MTC!W39</f>
        <v>94666.666666666672</v>
      </c>
      <c r="I19" s="216">
        <f t="shared" si="0"/>
        <v>15412.837362262522</v>
      </c>
      <c r="J19" s="217">
        <f>Case1_Detailed_MTC!X39</f>
        <v>0.75</v>
      </c>
      <c r="K19" s="216">
        <f>_xlfn.NORM.INV(J19,H19,I19)</f>
        <v>105062.46748895195</v>
      </c>
    </row>
    <row r="20" spans="2:11" x14ac:dyDescent="0.3">
      <c r="B20" s="215">
        <f>Case1_Detailed_MTC!S40</f>
        <v>23833.333333333332</v>
      </c>
      <c r="C20" s="215">
        <f>(Case1_Detailed_MTC!R40-Case1_Detailed_MTC!P40)/6</f>
        <v>2166.6666666666665</v>
      </c>
      <c r="D20" s="215">
        <f>Case1_Detailed_MTC!T40</f>
        <v>22666.666666666668</v>
      </c>
      <c r="E20" s="215">
        <f>SQRT((Case1_Detailed_MTC!P40^2+Case1_Detailed_MTC!R40^2+Case1_Detailed_MTC!Q40^2-Case1_Detailed_MTC!P40*Case1_Detailed_MTC!R40-Case1_Detailed_MTC!P40*Case1_Detailed_MTC!Q40-Case1_Detailed_MTC!Q40*Case1_Detailed_MTC!R40)/18)</f>
        <v>2778.8886667555112</v>
      </c>
      <c r="F20" s="215">
        <f>Case1_Detailed_MTC!U40</f>
        <v>23705</v>
      </c>
      <c r="G20" s="215">
        <f>SQRT(0.185*(Case1_Detailed_MTC!P40-Case1_Detailed_MTC!U40)^2+0.63*(Case1_Detailed_MTC!Q40-Case1_Detailed_MTC!U40)^2+0.185*(Case1_Detailed_MTC!R40-Case1_Detailed_MTC!U40)^2)</f>
        <v>4299.7645284364116</v>
      </c>
      <c r="H20" s="216">
        <f>Case1_Detailed_MTC!W40</f>
        <v>23833.333333333332</v>
      </c>
      <c r="I20" s="216">
        <f t="shared" si="0"/>
        <v>2166.6666666666665</v>
      </c>
      <c r="J20" s="217">
        <f>Case1_Detailed_MTC!X40</f>
        <v>0.8</v>
      </c>
      <c r="K20" s="216">
        <f>_xlfn.NORM.INV(J20,H20,I20)</f>
        <v>25656.846006074647</v>
      </c>
    </row>
  </sheetData>
  <sheetProtection password="8C64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Case1_Detailed_MTC</vt:lpstr>
      <vt:lpstr>Input_Data</vt:lpstr>
      <vt:lpstr>Expected Impact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Yasser Soliman</dc:creator>
  <cp:lastModifiedBy>Yasser Soliman</cp:lastModifiedBy>
  <dcterms:created xsi:type="dcterms:W3CDTF">2018-07-03T23:30:09Z</dcterms:created>
  <dcterms:modified xsi:type="dcterms:W3CDTF">2024-11-19T18:34:45Z</dcterms:modified>
</cp:coreProperties>
</file>